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5480" windowHeight="11685" tabRatio="472" activeTab="0"/>
  </bookViews>
  <sheets>
    <sheet name="Index" sheetId="1" r:id="rId1"/>
    <sheet name="Analogue" sheetId="2" r:id="rId2"/>
    <sheet name="dB" sheetId="3" r:id="rId3"/>
    <sheet name="Match" sheetId="4" r:id="rId4"/>
    <sheet name="Math" sheetId="5" r:id="rId5"/>
    <sheet name="Power" sheetId="6" r:id="rId6"/>
    <sheet name="Time" sheetId="7" r:id="rId7"/>
    <sheet name="Windings" sheetId="8" r:id="rId8"/>
  </sheets>
  <definedNames>
    <definedName name="ZIN">'Analogue'!#REF!</definedName>
  </definedNames>
  <calcPr fullCalcOnLoad="1"/>
</workbook>
</file>

<file path=xl/comments8.xml><?xml version="1.0" encoding="utf-8"?>
<comments xmlns="http://schemas.openxmlformats.org/spreadsheetml/2006/main">
  <authors>
    <author>a</author>
  </authors>
  <commentList>
    <comment ref="I8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Formula from David Knight g3ynh comps/part_2.html  Zint.pdf  formula Li - ACA3.74ML
SI Units
</t>
        </r>
      </text>
    </comment>
    <comment ref="H8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Formula from
http://h0me.earthlink.net/~jimlux/hv/wheeler.htm</t>
        </r>
      </text>
    </comment>
    <comment ref="I7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Formula from David Knight g3ynh comps/part_2.html  Zint.pdf  formula Li - ACA3.74ML
SI Units
</t>
        </r>
      </text>
    </comment>
  </commentList>
</comments>
</file>

<file path=xl/sharedStrings.xml><?xml version="1.0" encoding="utf-8"?>
<sst xmlns="http://schemas.openxmlformats.org/spreadsheetml/2006/main" count="2619" uniqueCount="1081">
  <si>
    <t>Power =</t>
  </si>
  <si>
    <t>Watts</t>
  </si>
  <si>
    <t>dBm</t>
  </si>
  <si>
    <t>Volts</t>
  </si>
  <si>
    <t>dB</t>
  </si>
  <si>
    <t>P1 = Alog(dBm/10) x 0.001</t>
  </si>
  <si>
    <t xml:space="preserve">Frequency = </t>
  </si>
  <si>
    <t>Harmonic 2</t>
  </si>
  <si>
    <t>Harmonic 3</t>
  </si>
  <si>
    <t>Harmonic 4</t>
  </si>
  <si>
    <t>Harmonic 5</t>
  </si>
  <si>
    <t>Harmonic 6</t>
  </si>
  <si>
    <t>Harmonic 7</t>
  </si>
  <si>
    <t>Harmonic 8</t>
  </si>
  <si>
    <t>Harmonic 9</t>
  </si>
  <si>
    <t>Harmonic 10</t>
  </si>
  <si>
    <t>Harmonic 11</t>
  </si>
  <si>
    <t>Harmonic 12</t>
  </si>
  <si>
    <t>Harmonic 13</t>
  </si>
  <si>
    <t>Harmonic 14</t>
  </si>
  <si>
    <t>power = 10 Log (P1/0.001)</t>
  </si>
  <si>
    <t>Harmonics</t>
  </si>
  <si>
    <t>Ohms</t>
  </si>
  <si>
    <t>Volts rms</t>
  </si>
  <si>
    <t>Peak to Peak into rms</t>
  </si>
  <si>
    <t>Volts pp</t>
  </si>
  <si>
    <t>Power = V^2 / R</t>
  </si>
  <si>
    <t>Harmonic 15</t>
  </si>
  <si>
    <t>Harmonic 16</t>
  </si>
  <si>
    <t>Harmonic 17</t>
  </si>
  <si>
    <t>Harmonic 18</t>
  </si>
  <si>
    <t>Spurs</t>
  </si>
  <si>
    <t xml:space="preserve">Sum = </t>
  </si>
  <si>
    <t xml:space="preserve">Difference = </t>
  </si>
  <si>
    <t>Amps</t>
  </si>
  <si>
    <t>Voltage Drop = I x R</t>
  </si>
  <si>
    <t>Amps rms</t>
  </si>
  <si>
    <t>Power = I^2 x R</t>
  </si>
  <si>
    <t>Voltage =</t>
  </si>
  <si>
    <t>Volts rms to dBm</t>
  </si>
  <si>
    <t>Power</t>
  </si>
  <si>
    <t>Current =</t>
  </si>
  <si>
    <t>Power in Resistor Using Current</t>
  </si>
  <si>
    <t>Power in Resistor Using Voltage</t>
  </si>
  <si>
    <t>Drop =</t>
  </si>
  <si>
    <t>Power in Resistor into Current</t>
  </si>
  <si>
    <t>Power in Resistor Into Voltage</t>
  </si>
  <si>
    <t>Reactance of a Capacitor</t>
  </si>
  <si>
    <t>Digits</t>
  </si>
  <si>
    <t>Xc = 1 / 2pi fc</t>
  </si>
  <si>
    <t>Hz</t>
  </si>
  <si>
    <t xml:space="preserve">Xc = </t>
  </si>
  <si>
    <t>rms into Peak to Peak</t>
  </si>
  <si>
    <t>Volts rms =</t>
  </si>
  <si>
    <t>Volts pp =</t>
  </si>
  <si>
    <t>Reactance of an Inductor</t>
  </si>
  <si>
    <t>m</t>
  </si>
  <si>
    <t>Wavelength = 3 x 10^8 / F</t>
  </si>
  <si>
    <t>Frequency = 3 x 10^8 / Wavelength</t>
  </si>
  <si>
    <t>dBuV</t>
  </si>
  <si>
    <t>Volts rms to dBuV</t>
  </si>
  <si>
    <t>power = 20 Log (V1/0.000001)  dBuV</t>
  </si>
  <si>
    <t>dBuV to Volts rms</t>
  </si>
  <si>
    <t>Attenuation (dB)</t>
  </si>
  <si>
    <t>Wavelength to Frequency</t>
  </si>
  <si>
    <t>Frequency to Wavelength</t>
  </si>
  <si>
    <t xml:space="preserve">MHz </t>
  </si>
  <si>
    <t>Resistors in Parallel</t>
  </si>
  <si>
    <t>Resistance = 1/(1/R1+1/R2)</t>
  </si>
  <si>
    <t>Resistance =</t>
  </si>
  <si>
    <t xml:space="preserve">Volts </t>
  </si>
  <si>
    <t>Potentiometer</t>
  </si>
  <si>
    <t>R2 = 1/(1/Total - 1/R10)</t>
  </si>
  <si>
    <t>Resonance</t>
  </si>
  <si>
    <t>Resonant Frequency =</t>
  </si>
  <si>
    <t>1/(2 x Pi x SQRT(C x L))</t>
  </si>
  <si>
    <t>MHz</t>
  </si>
  <si>
    <t>mm</t>
  </si>
  <si>
    <t>(N)</t>
  </si>
  <si>
    <t>L =</t>
  </si>
  <si>
    <t>uH</t>
  </si>
  <si>
    <t>Series Resistors</t>
  </si>
  <si>
    <t>dBm to Watts</t>
  </si>
  <si>
    <t>Watts to dBm</t>
  </si>
  <si>
    <t>V1 = Alog(dBm/20) x (0.001 x Zo)^0.5</t>
  </si>
  <si>
    <t>power = 20 Log (V1/(0.001 x Zo)^0.5)</t>
  </si>
  <si>
    <t>V1 = Alog(dBm/20) x 0.000001</t>
  </si>
  <si>
    <t>power = 10 Log (P1/(0.000001^2/Zo))</t>
  </si>
  <si>
    <t>P1 = Alog(dBm/10) x (0.000001^2/Zo)</t>
  </si>
  <si>
    <t>Volts = (W x R)^0.5</t>
  </si>
  <si>
    <t>Current = (W / R)^0.5</t>
  </si>
  <si>
    <t>ohm</t>
  </si>
  <si>
    <t>nH</t>
  </si>
  <si>
    <t>pF</t>
  </si>
  <si>
    <t>Component values</t>
  </si>
  <si>
    <t>Narrowband Bridge Balun</t>
  </si>
  <si>
    <t>EMF</t>
  </si>
  <si>
    <t>Tolerance</t>
  </si>
  <si>
    <t>%</t>
  </si>
  <si>
    <t>Maximum =</t>
  </si>
  <si>
    <t>Minimum =</t>
  </si>
  <si>
    <t xml:space="preserve">     0.0315 x N^2 x R^2</t>
  </si>
  <si>
    <t>R bias (total) =</t>
  </si>
  <si>
    <t>R bias resistors =</t>
  </si>
  <si>
    <t>Power R1 =</t>
  </si>
  <si>
    <t>Calculated R2 =</t>
  </si>
  <si>
    <t>Power R2 =</t>
  </si>
  <si>
    <t>Parallel Resistors</t>
  </si>
  <si>
    <t>Actual Current =</t>
  </si>
  <si>
    <t>Ohms Law Current</t>
  </si>
  <si>
    <t>Ohms Law Voltage</t>
  </si>
  <si>
    <t>Ohms Law Resistance</t>
  </si>
  <si>
    <t>Resistance = V / I</t>
  </si>
  <si>
    <t>Voltage = I x R</t>
  </si>
  <si>
    <t>R1 + R2 =</t>
  </si>
  <si>
    <t>Maximum Current =</t>
  </si>
  <si>
    <t>Minimum Current =</t>
  </si>
  <si>
    <t>Voltage R1 Max =</t>
  </si>
  <si>
    <t>Voltage R1 Min =</t>
  </si>
  <si>
    <t>R1 || R2 =</t>
  </si>
  <si>
    <t>Voltage R1 Mean =</t>
  </si>
  <si>
    <t xml:space="preserve">Resistance </t>
  </si>
  <si>
    <t>T = C x R</t>
  </si>
  <si>
    <t>Seconds</t>
  </si>
  <si>
    <t>C = T / R</t>
  </si>
  <si>
    <t>uF</t>
  </si>
  <si>
    <t>R = T / C</t>
  </si>
  <si>
    <t>Charging Capacitor, Time</t>
  </si>
  <si>
    <t>Charging Capacitor, Capacitance</t>
  </si>
  <si>
    <t>Charging Capacitor, Resistance</t>
  </si>
  <si>
    <t>dBc</t>
  </si>
  <si>
    <t>noise = measured -10 Log RBW</t>
  </si>
  <si>
    <t>KHz</t>
  </si>
  <si>
    <t>noise =</t>
  </si>
  <si>
    <t>dBc/Hz</t>
  </si>
  <si>
    <t>- Correction Factor</t>
  </si>
  <si>
    <t>Constant</t>
  </si>
  <si>
    <t>Harmonic 19</t>
  </si>
  <si>
    <t>Harmonic 20</t>
  </si>
  <si>
    <t>Impedance =</t>
  </si>
  <si>
    <t>Coaxial Cable Capacitance</t>
  </si>
  <si>
    <t>Coaxial Cable Inductance</t>
  </si>
  <si>
    <t>εr</t>
  </si>
  <si>
    <t>Resistance = 1/(1/R1+1/R2 + 1/R3))</t>
  </si>
  <si>
    <t xml:space="preserve"> 1/(1/R1+1/R2 + 1/R3 + 1/R4 + 1/R5 + 1/R6))</t>
  </si>
  <si>
    <t xml:space="preserve">Resistance = </t>
  </si>
  <si>
    <t>Return Loss =</t>
  </si>
  <si>
    <t>6 dB Splitter</t>
  </si>
  <si>
    <t xml:space="preserve">Xl = </t>
  </si>
  <si>
    <t>Stub Filter Frequency</t>
  </si>
  <si>
    <t xml:space="preserve">mm </t>
  </si>
  <si>
    <t>Vf =</t>
  </si>
  <si>
    <t>Electrical Length = Mechanical Length / Vf</t>
  </si>
  <si>
    <t>Elec l =</t>
  </si>
  <si>
    <t>Schmitt Trigger</t>
  </si>
  <si>
    <t>dBm to Volts rms</t>
  </si>
  <si>
    <t>Return Loss = 20LOG((VSWR-1)/(VSWR+1))</t>
  </si>
  <si>
    <t>Volts pp = Volts rms x 2.828</t>
  </si>
  <si>
    <t>Volts rms = Volts pp / 2.828</t>
  </si>
  <si>
    <t>Check Formula</t>
  </si>
  <si>
    <t>1) Vout =</t>
  </si>
  <si>
    <t>2) I/P RS =</t>
  </si>
  <si>
    <t>3) O/P RS =</t>
  </si>
  <si>
    <t>4) RSI =</t>
  </si>
  <si>
    <t>5) RSI =</t>
  </si>
  <si>
    <t>RSO =</t>
  </si>
  <si>
    <t>6) Zin =</t>
  </si>
  <si>
    <t>7) Square Brackets =</t>
  </si>
  <si>
    <t>8) Square Brackets =</t>
  </si>
  <si>
    <t>9) Square Brackets =</t>
  </si>
  <si>
    <t>10) Square Brackets =</t>
  </si>
  <si>
    <t>11) Square Brackets =</t>
  </si>
  <si>
    <t>12) Whole Formula =</t>
  </si>
  <si>
    <t>13) Whole Formula =</t>
  </si>
  <si>
    <t>I) Zout =</t>
  </si>
  <si>
    <t>2) Zout =</t>
  </si>
  <si>
    <t>3) Zout =</t>
  </si>
  <si>
    <t>RS1 =</t>
  </si>
  <si>
    <t>4) 1 =</t>
  </si>
  <si>
    <t>5) 1 =</t>
  </si>
  <si>
    <t>6) 1 =</t>
  </si>
  <si>
    <t>7) 1 =</t>
  </si>
  <si>
    <t>8) 1 =</t>
  </si>
  <si>
    <t>13)</t>
  </si>
  <si>
    <t>12)</t>
  </si>
  <si>
    <t>10)</t>
  </si>
  <si>
    <t>9)</t>
  </si>
  <si>
    <t>14)</t>
  </si>
  <si>
    <t>15)</t>
  </si>
  <si>
    <t>16)</t>
  </si>
  <si>
    <t>FORWARD</t>
  </si>
  <si>
    <t>REVERSE</t>
  </si>
  <si>
    <t>C = 24.16 * εr / LOG10 D/d</t>
  </si>
  <si>
    <t>Zo = 138/εr^0.5 x LOG10(D/d)</t>
  </si>
  <si>
    <t>L = 0.4606 * LOG10 D/d</t>
  </si>
  <si>
    <t>Impedance = (L/C)^0.5</t>
  </si>
  <si>
    <t>pF/m</t>
  </si>
  <si>
    <t>Tea  Attenuator---Ideal Values</t>
  </si>
  <si>
    <t>Pie Attenuator---Ideal Values</t>
  </si>
  <si>
    <t>Output</t>
  </si>
  <si>
    <t>Input</t>
  </si>
  <si>
    <t>Coaxial Cable Impedance from diameters</t>
  </si>
  <si>
    <t>Coaxial Cable Impedance from capacitance and inductance</t>
  </si>
  <si>
    <t>Pie Attenuator---Preferred Values</t>
  </si>
  <si>
    <t>Tea  Attenuator---Preferred Values</t>
  </si>
  <si>
    <t>Mismatch Loss =</t>
  </si>
  <si>
    <t>Return Loss and Mismatch Loss</t>
  </si>
  <si>
    <t>Turns</t>
  </si>
  <si>
    <t>Secondary Voltage =</t>
  </si>
  <si>
    <t>Bridge PSU</t>
  </si>
  <si>
    <t>Bridge Output =</t>
  </si>
  <si>
    <t>Volts dc</t>
  </si>
  <si>
    <t>Power in Watts</t>
  </si>
  <si>
    <t xml:space="preserve">Voltage = </t>
  </si>
  <si>
    <t>inches</t>
  </si>
  <si>
    <t>Imperial Length =</t>
  </si>
  <si>
    <t xml:space="preserve">Metric Length = </t>
  </si>
  <si>
    <t>Imperial and Metric Distance</t>
  </si>
  <si>
    <t>I Digit Fraction =</t>
  </si>
  <si>
    <t>2 Digit Fraction =</t>
  </si>
  <si>
    <t>3 Digit Fraction =</t>
  </si>
  <si>
    <t>1 inch = 25.4 mm</t>
  </si>
  <si>
    <t>Small as a percentage of large</t>
  </si>
  <si>
    <t>Percentage</t>
  </si>
  <si>
    <t>=</t>
  </si>
  <si>
    <t>Large as a percentage of small</t>
  </si>
  <si>
    <t>Current from Watts</t>
  </si>
  <si>
    <t>Voltage from Watts</t>
  </si>
  <si>
    <t xml:space="preserve">Current = </t>
  </si>
  <si>
    <t>V = W / I</t>
  </si>
  <si>
    <t>I = W / V</t>
  </si>
  <si>
    <t>W = I x V</t>
  </si>
  <si>
    <t>Mean =</t>
  </si>
  <si>
    <t>Mean</t>
  </si>
  <si>
    <t>One bit resolution =</t>
  </si>
  <si>
    <t>DAC Resolution</t>
  </si>
  <si>
    <t>Absolute Load Impedance =</t>
  </si>
  <si>
    <t>((R+Zo)^2+j^2)^0.5</t>
  </si>
  <si>
    <t>((R-Zo)^2+j^2)^0.5</t>
  </si>
  <si>
    <t xml:space="preserve"> ( 1 + Γ ) / ( 1 - Γ )</t>
  </si>
  <si>
    <t>VSWR =</t>
  </si>
  <si>
    <t>Reflection Coefficient ( Γ ) =</t>
  </si>
  <si>
    <t>Hexadecimal</t>
  </si>
  <si>
    <t>HEX =</t>
  </si>
  <si>
    <t>DECIMAL =</t>
  </si>
  <si>
    <t>Impedance of Capacitor and  Resistor in Parallel</t>
  </si>
  <si>
    <t>Impedance of Capacitor and  Resistor in Series</t>
  </si>
  <si>
    <t>Calculation Spreadsheet For Radio Frequency and Analogue Electronics</t>
  </si>
  <si>
    <t>dBuV to Watts</t>
  </si>
  <si>
    <t>Short-Term Stability</t>
  </si>
  <si>
    <t xml:space="preserve">Fundamental = </t>
  </si>
  <si>
    <t>Nominal Frequency</t>
  </si>
  <si>
    <t>Enter Zero for all unused frequencies</t>
  </si>
  <si>
    <t>Use identical units in all cells</t>
  </si>
  <si>
    <t>(Average)</t>
  </si>
  <si>
    <t>fi</t>
  </si>
  <si>
    <r>
      <t>fi</t>
    </r>
    <r>
      <rPr>
        <b/>
        <vertAlign val="superscript"/>
        <sz val="10"/>
        <rFont val="Arial"/>
        <family val="2"/>
      </rPr>
      <t>(1)</t>
    </r>
  </si>
  <si>
    <r>
      <t>fi</t>
    </r>
    <r>
      <rPr>
        <b/>
        <vertAlign val="superscript"/>
        <sz val="10"/>
        <rFont val="Arial"/>
        <family val="2"/>
      </rPr>
      <t>(2)</t>
    </r>
  </si>
  <si>
    <r>
      <t>fi</t>
    </r>
    <r>
      <rPr>
        <b/>
        <vertAlign val="superscript"/>
        <sz val="10"/>
        <rFont val="Arial"/>
        <family val="2"/>
      </rPr>
      <t>(3)</t>
    </r>
  </si>
  <si>
    <t>Medium-Term Stability</t>
  </si>
  <si>
    <t>sec</t>
  </si>
  <si>
    <t>tifi</t>
  </si>
  <si>
    <t>ti</t>
  </si>
  <si>
    <t>ti^2</t>
  </si>
  <si>
    <t>Mean Slope (A) =</t>
  </si>
  <si>
    <t>Ordinate at Origin of Least Squares Straight Line (B) =</t>
  </si>
  <si>
    <t>X</t>
  </si>
  <si>
    <t>Enter Zero for all unused cells</t>
  </si>
  <si>
    <t>X-M^2</t>
  </si>
  <si>
    <t>n</t>
  </si>
  <si>
    <t xml:space="preserve">Standard Deviation (S) = </t>
  </si>
  <si>
    <t>fi(2) and fi(3) are +ve and -ve phase transitions</t>
  </si>
  <si>
    <t>Sample Standard Deviation</t>
  </si>
  <si>
    <t>Count</t>
  </si>
  <si>
    <t>(fi(2)-fi(3)/fi(2)^2</t>
  </si>
  <si>
    <t>(fi-Ati-B)^2</t>
  </si>
  <si>
    <t xml:space="preserve">Nominal Frequency (fo) = </t>
  </si>
  <si>
    <t xml:space="preserve">Short-Term Stability (σ) = </t>
  </si>
  <si>
    <t>INDEX</t>
  </si>
  <si>
    <t>Analogue</t>
  </si>
  <si>
    <t>MMIC dc Conditions</t>
  </si>
  <si>
    <t>Wheeler Formula for Air Spaced Inductors</t>
  </si>
  <si>
    <t>Watts to dBuV</t>
  </si>
  <si>
    <t>Pi Attenuator</t>
  </si>
  <si>
    <t>dBc to dBc/Hz</t>
  </si>
  <si>
    <t>T Attenuator</t>
  </si>
  <si>
    <t>Power in Resistor using Voltage</t>
  </si>
  <si>
    <t>Power in Resistor into Voltage</t>
  </si>
  <si>
    <t>Nominal Frequency (Average)</t>
  </si>
  <si>
    <t>Short Term Stability</t>
  </si>
  <si>
    <t>Medium Term Stability</t>
  </si>
  <si>
    <t>Math</t>
  </si>
  <si>
    <t>Impedance of Capacitor and Resistor in Series</t>
  </si>
  <si>
    <t>Impedance of Capacitor and Resistor in Parallel</t>
  </si>
  <si>
    <t>Attenuation dB (Volts)</t>
  </si>
  <si>
    <t>Attenuation dB (Watts)</t>
  </si>
  <si>
    <t>(Corresponds to Allen Deviation)</t>
  </si>
  <si>
    <t xml:space="preserve">Maximum = </t>
  </si>
  <si>
    <t xml:space="preserve">Minimum = </t>
  </si>
  <si>
    <t xml:space="preserve">Median = </t>
  </si>
  <si>
    <t>Average =</t>
  </si>
  <si>
    <t>TRUE/FALSE</t>
  </si>
  <si>
    <t>Residual Frequency Deviation (σ) =</t>
  </si>
  <si>
    <t>Delta fi</t>
  </si>
  <si>
    <t>Allen Deviation (σy^2(τ)) =</t>
  </si>
  <si>
    <t>Tank Circuit Resonance</t>
  </si>
  <si>
    <t xml:space="preserve">RF Harmonic = </t>
  </si>
  <si>
    <t xml:space="preserve">LO Harmonic = </t>
  </si>
  <si>
    <t>Frequency = Fundamental x Harmonic</t>
  </si>
  <si>
    <t xml:space="preserve">  Velocity Factor = 1 / εr^0.5</t>
  </si>
  <si>
    <t xml:space="preserve">  Frequency = (3 x 10^8 ) / ( Elec l x 2 )</t>
  </si>
  <si>
    <t xml:space="preserve">Frequency =   </t>
  </si>
  <si>
    <t>Difference</t>
  </si>
  <si>
    <t>fi ^2</t>
  </si>
  <si>
    <t>Current = Voltage / Resistance</t>
  </si>
  <si>
    <t>Period to Frequency to Period</t>
  </si>
  <si>
    <t xml:space="preserve">Period = </t>
  </si>
  <si>
    <t xml:space="preserve">Capacitance = </t>
  </si>
  <si>
    <t xml:space="preserve">Inductance = </t>
  </si>
  <si>
    <t xml:space="preserve">Wavelength = </t>
  </si>
  <si>
    <t>Frequency Coherence</t>
  </si>
  <si>
    <t>Z in = (R2   + Zo)/2 + R1</t>
  </si>
  <si>
    <t xml:space="preserve">Z in = </t>
  </si>
  <si>
    <t>VSWR =  ( 1 + Γ ) / ( 1 - Γ )</t>
  </si>
  <si>
    <t xml:space="preserve">Return Loss = </t>
  </si>
  <si>
    <t xml:space="preserve">Mismatch Loss = </t>
  </si>
  <si>
    <t xml:space="preserve">VSWR = </t>
  </si>
  <si>
    <t xml:space="preserve">C = </t>
  </si>
  <si>
    <t xml:space="preserve">Time = </t>
  </si>
  <si>
    <t xml:space="preserve">Capacitance </t>
  </si>
  <si>
    <t xml:space="preserve">Mantissa </t>
  </si>
  <si>
    <t xml:space="preserve">Time </t>
  </si>
  <si>
    <t xml:space="preserve">Tolerance </t>
  </si>
  <si>
    <t xml:space="preserve">R1 </t>
  </si>
  <si>
    <t xml:space="preserve">R2 </t>
  </si>
  <si>
    <t xml:space="preserve">R3 </t>
  </si>
  <si>
    <t xml:space="preserve">R4 </t>
  </si>
  <si>
    <t xml:space="preserve">R5 </t>
  </si>
  <si>
    <t xml:space="preserve">R6 </t>
  </si>
  <si>
    <t xml:space="preserve">Current </t>
  </si>
  <si>
    <t xml:space="preserve">Voltage </t>
  </si>
  <si>
    <t xml:space="preserve">Input Voltage </t>
  </si>
  <si>
    <t xml:space="preserve">Output = </t>
  </si>
  <si>
    <t xml:space="preserve">Input Resistor (R1) </t>
  </si>
  <si>
    <t xml:space="preserve">Ground Resistor (R2) </t>
  </si>
  <si>
    <t xml:space="preserve">Feedback Resistor (R3) </t>
  </si>
  <si>
    <t>Xl = 2πfl</t>
  </si>
  <si>
    <t xml:space="preserve">Inductance </t>
  </si>
  <si>
    <t xml:space="preserve">Frequency </t>
  </si>
  <si>
    <t xml:space="preserve">Source resistance </t>
  </si>
  <si>
    <t xml:space="preserve">Centre frequency </t>
  </si>
  <si>
    <t xml:space="preserve">Load resistance </t>
  </si>
  <si>
    <t xml:space="preserve">Series Resistor IN </t>
  </si>
  <si>
    <t xml:space="preserve">Series Resistor OUT </t>
  </si>
  <si>
    <t xml:space="preserve">Shunt Resistor </t>
  </si>
  <si>
    <t xml:space="preserve">Ohms + </t>
  </si>
  <si>
    <t>Equivalent Parallel Circuit</t>
  </si>
  <si>
    <t xml:space="preserve">Output Voltage = </t>
  </si>
  <si>
    <t xml:space="preserve">Shunt Resistor IN = </t>
  </si>
  <si>
    <t>Equivalent  Series Circuit</t>
  </si>
  <si>
    <t>EQUIVALENT CIRCUITS</t>
  </si>
  <si>
    <t xml:space="preserve">Shunt Resistor OUT = </t>
  </si>
  <si>
    <t xml:space="preserve">Series Resistor = </t>
  </si>
  <si>
    <t xml:space="preserve">Attenuation = </t>
  </si>
  <si>
    <t xml:space="preserve">Output Impedance = </t>
  </si>
  <si>
    <t xml:space="preserve">Reflection Coefficient = </t>
  </si>
  <si>
    <t xml:space="preserve">Output VSWR = </t>
  </si>
  <si>
    <t>Series Resistor IN  =</t>
  </si>
  <si>
    <t xml:space="preserve">Series Resistor OUT = </t>
  </si>
  <si>
    <t xml:space="preserve">Shunt Resistor = </t>
  </si>
  <si>
    <t xml:space="preserve">Input Voltage = </t>
  </si>
  <si>
    <t xml:space="preserve">Zo </t>
  </si>
  <si>
    <t xml:space="preserve">Real (R) </t>
  </si>
  <si>
    <t xml:space="preserve">Imaginary (j) </t>
  </si>
  <si>
    <t xml:space="preserve">EMF </t>
  </si>
  <si>
    <t xml:space="preserve">Zo IN </t>
  </si>
  <si>
    <t xml:space="preserve">Zo OUT </t>
  </si>
  <si>
    <t xml:space="preserve">Attenuation </t>
  </si>
  <si>
    <t xml:space="preserve">Series Resistor </t>
  </si>
  <si>
    <t xml:space="preserve">Shunt Resistor IN </t>
  </si>
  <si>
    <t xml:space="preserve">Shunt Resistor OUT </t>
  </si>
  <si>
    <t xml:space="preserve">Total Resistance = </t>
  </si>
  <si>
    <t xml:space="preserve">Input Current = </t>
  </si>
  <si>
    <t xml:space="preserve">Input Impedance = </t>
  </si>
  <si>
    <t xml:space="preserve">Input VSWR = </t>
  </si>
  <si>
    <t xml:space="preserve">Refection Coefficient = </t>
  </si>
  <si>
    <t xml:space="preserve">R1 = R2 = R3 </t>
  </si>
  <si>
    <t xml:space="preserve">Resistor </t>
  </si>
  <si>
    <t xml:space="preserve">Outer (D) </t>
  </si>
  <si>
    <t xml:space="preserve">Inner (d) </t>
  </si>
  <si>
    <t xml:space="preserve">Dielectric </t>
  </si>
  <si>
    <t>Z Complex = (R x Xc) / (R + Xc)</t>
  </si>
  <si>
    <t xml:space="preserve">Complex Load Impedance = </t>
  </si>
  <si>
    <t xml:space="preserve">Absolute Load Impedance = </t>
  </si>
  <si>
    <t xml:space="preserve">Power </t>
  </si>
  <si>
    <t xml:space="preserve">Primary </t>
  </si>
  <si>
    <t xml:space="preserve">Secondary </t>
  </si>
  <si>
    <t xml:space="preserve">Individual Diode Drop </t>
  </si>
  <si>
    <t xml:space="preserve">Primary Voltage </t>
  </si>
  <si>
    <t>Current = V / R</t>
  </si>
  <si>
    <t>or</t>
  </si>
  <si>
    <t xml:space="preserve">Harmonic </t>
  </si>
  <si>
    <t xml:space="preserve">RF Harmonic </t>
  </si>
  <si>
    <t xml:space="preserve">LO Frequency </t>
  </si>
  <si>
    <t xml:space="preserve">RF Frequency </t>
  </si>
  <si>
    <t xml:space="preserve">LO Harmonic </t>
  </si>
  <si>
    <t xml:space="preserve">Wavelength </t>
  </si>
  <si>
    <t xml:space="preserve">εr </t>
  </si>
  <si>
    <t xml:space="preserve">Period </t>
  </si>
  <si>
    <t xml:space="preserve">= </t>
  </si>
  <si>
    <t xml:space="preserve">Type </t>
  </si>
  <si>
    <t xml:space="preserve">Vcc </t>
  </si>
  <si>
    <t xml:space="preserve">I bias </t>
  </si>
  <si>
    <t xml:space="preserve">Vd </t>
  </si>
  <si>
    <t xml:space="preserve">Series inductors </t>
  </si>
  <si>
    <t xml:space="preserve">Actual R2 </t>
  </si>
  <si>
    <t xml:space="preserve">Vd Max </t>
  </si>
  <si>
    <t xml:space="preserve">Vd Min </t>
  </si>
  <si>
    <t xml:space="preserve">V1 </t>
  </si>
  <si>
    <t xml:space="preserve">P1 </t>
  </si>
  <si>
    <t xml:space="preserve">V2 </t>
  </si>
  <si>
    <t xml:space="preserve">P2 </t>
  </si>
  <si>
    <t xml:space="preserve">Level </t>
  </si>
  <si>
    <t xml:space="preserve">Power = </t>
  </si>
  <si>
    <t xml:space="preserve">Measured </t>
  </si>
  <si>
    <t xml:space="preserve">RBW </t>
  </si>
  <si>
    <t xml:space="preserve">Correction </t>
  </si>
  <si>
    <t xml:space="preserve">Series Resistor IN = </t>
  </si>
  <si>
    <t xml:space="preserve">Duty Ratio </t>
  </si>
  <si>
    <t xml:space="preserve">Percentage = </t>
  </si>
  <si>
    <t xml:space="preserve">HEX </t>
  </si>
  <si>
    <t xml:space="preserve">Maximum </t>
  </si>
  <si>
    <t xml:space="preserve">Minimum </t>
  </si>
  <si>
    <t xml:space="preserve">Number of Bits </t>
  </si>
  <si>
    <t xml:space="preserve">Full Output </t>
  </si>
  <si>
    <t xml:space="preserve">Imperial Length </t>
  </si>
  <si>
    <t xml:space="preserve">Mean Value </t>
  </si>
  <si>
    <t xml:space="preserve">Large </t>
  </si>
  <si>
    <t xml:space="preserve">Small </t>
  </si>
  <si>
    <t xml:space="preserve">Fundamental </t>
  </si>
  <si>
    <t>NOTES:</t>
  </si>
  <si>
    <t xml:space="preserve">Percentage Power in Measured Bandwidth = </t>
  </si>
  <si>
    <t>Alog ((dBc -dBT)/10) x 100</t>
  </si>
  <si>
    <t xml:space="preserve">Power in Bandwidth (dBc) </t>
  </si>
  <si>
    <t xml:space="preserve">Measured Total Power (dBT) </t>
  </si>
  <si>
    <t>Via Inductance</t>
  </si>
  <si>
    <t>(Rule of thumb!)</t>
  </si>
  <si>
    <t xml:space="preserve">Length (h) </t>
  </si>
  <si>
    <t xml:space="preserve">Diameter (d) </t>
  </si>
  <si>
    <t>Inductance =</t>
  </si>
  <si>
    <t>L = 0.2 x h x (ln(4h/d)+1)</t>
  </si>
  <si>
    <t>Power in Resistor using Current</t>
  </si>
  <si>
    <t>Charging Inductor, Time</t>
  </si>
  <si>
    <t>Inductance</t>
  </si>
  <si>
    <t>T = L / R</t>
  </si>
  <si>
    <t>Parts Per Million</t>
  </si>
  <si>
    <t>ppm</t>
  </si>
  <si>
    <t>Degrees</t>
  </si>
  <si>
    <t>Instantaneous Voltage =</t>
  </si>
  <si>
    <t>Sine Wave - Instantaneous Voltage</t>
  </si>
  <si>
    <t>Phase =</t>
  </si>
  <si>
    <t>Degrees to Radians</t>
  </si>
  <si>
    <t>Radians =</t>
  </si>
  <si>
    <t xml:space="preserve">Peak Voltage </t>
  </si>
  <si>
    <t xml:space="preserve">Phase Angle </t>
  </si>
  <si>
    <t xml:space="preserve">Instantaneous Voltage </t>
  </si>
  <si>
    <t xml:space="preserve">Degrees </t>
  </si>
  <si>
    <t>Radians to Degrees</t>
  </si>
  <si>
    <t>Radians</t>
  </si>
  <si>
    <t xml:space="preserve">Degrees = </t>
  </si>
  <si>
    <t>Binary</t>
  </si>
  <si>
    <t>8 Bit Binary</t>
  </si>
  <si>
    <t>c</t>
  </si>
  <si>
    <t>One bit resolution = Full Voltage / 2^nBits</t>
  </si>
  <si>
    <t>Scratch Area</t>
  </si>
  <si>
    <t>Inductor Charging Times</t>
  </si>
  <si>
    <t>Parts per Million</t>
  </si>
  <si>
    <t xml:space="preserve"> θ = asin (y/A)</t>
  </si>
  <si>
    <t>y = A sin θ</t>
  </si>
  <si>
    <t>Vsum =</t>
  </si>
  <si>
    <t>RcRb + RcRa + RaRb</t>
  </si>
  <si>
    <t>Volts peak =</t>
  </si>
  <si>
    <t>Voltage Summing Resistors</t>
  </si>
  <si>
    <t>Distance travelled at the speed of light</t>
  </si>
  <si>
    <t>Speed =</t>
  </si>
  <si>
    <t>x 10^8</t>
  </si>
  <si>
    <t>m/s</t>
  </si>
  <si>
    <t>Distance =</t>
  </si>
  <si>
    <t>km</t>
  </si>
  <si>
    <t xml:space="preserve">m </t>
  </si>
  <si>
    <t>Distance</t>
  </si>
  <si>
    <t>Time =</t>
  </si>
  <si>
    <t xml:space="preserve">Nautical Miles </t>
  </si>
  <si>
    <t>Kilometres =</t>
  </si>
  <si>
    <t>NM</t>
  </si>
  <si>
    <t xml:space="preserve">Kilometres </t>
  </si>
  <si>
    <t>Nautical Miles =</t>
  </si>
  <si>
    <t>Nautical Miles and Kilometres</t>
  </si>
  <si>
    <t>Sine Wave - Phase Angle</t>
  </si>
  <si>
    <t xml:space="preserve"> the input (BLACK text) of another block.</t>
  </si>
  <si>
    <t>Calculate</t>
  </si>
  <si>
    <t>Page</t>
  </si>
  <si>
    <t>A1</t>
  </si>
  <si>
    <t>G38</t>
  </si>
  <si>
    <t>A13</t>
  </si>
  <si>
    <t>D13</t>
  </si>
  <si>
    <t>E25</t>
  </si>
  <si>
    <t>A25</t>
  </si>
  <si>
    <t>Coaxial Cable Impedance from Diameters</t>
  </si>
  <si>
    <t>Coaxial Cable Impedance from L &amp; C</t>
  </si>
  <si>
    <t>G62</t>
  </si>
  <si>
    <t>A62</t>
  </si>
  <si>
    <t>Cell</t>
  </si>
  <si>
    <t>G45</t>
  </si>
  <si>
    <t>G9</t>
  </si>
  <si>
    <t>E9</t>
  </si>
  <si>
    <t>D25</t>
  </si>
  <si>
    <t>G25</t>
  </si>
  <si>
    <t>J13</t>
  </si>
  <si>
    <t>L13</t>
  </si>
  <si>
    <t>E33</t>
  </si>
  <si>
    <t>L1</t>
  </si>
  <si>
    <t>A30</t>
  </si>
  <si>
    <t>E17</t>
  </si>
  <si>
    <t>G48</t>
  </si>
  <si>
    <t>A48</t>
  </si>
  <si>
    <t>A33</t>
  </si>
  <si>
    <t>E1</t>
  </si>
  <si>
    <t>H37</t>
  </si>
  <si>
    <t>P1</t>
  </si>
  <si>
    <t>J38</t>
  </si>
  <si>
    <t>I37</t>
  </si>
  <si>
    <t>A37</t>
  </si>
  <si>
    <t>M1</t>
  </si>
  <si>
    <t>M13</t>
  </si>
  <si>
    <t>M25</t>
  </si>
  <si>
    <t>J37</t>
  </si>
  <si>
    <t>J1</t>
  </si>
  <si>
    <t>H25</t>
  </si>
  <si>
    <t>H1</t>
  </si>
  <si>
    <t>D37</t>
  </si>
  <si>
    <t>D14</t>
  </si>
  <si>
    <t>D50</t>
  </si>
  <si>
    <t>A50</t>
  </si>
  <si>
    <t>A14</t>
  </si>
  <si>
    <t>D1</t>
  </si>
  <si>
    <t>G37</t>
  </si>
  <si>
    <t>G1</t>
  </si>
  <si>
    <t>L19</t>
  </si>
  <si>
    <t>A38</t>
  </si>
  <si>
    <t>D38</t>
  </si>
  <si>
    <t>A61</t>
  </si>
  <si>
    <t>M37</t>
  </si>
  <si>
    <t>J49</t>
  </si>
  <si>
    <t>I1</t>
  </si>
  <si>
    <t>P13</t>
  </si>
  <si>
    <t>P25</t>
  </si>
  <si>
    <t>H13</t>
  </si>
  <si>
    <t>M19</t>
  </si>
  <si>
    <t>A19</t>
  </si>
  <si>
    <t>A17</t>
  </si>
  <si>
    <t>G53</t>
  </si>
  <si>
    <t>G17</t>
  </si>
  <si>
    <t>S = I / C</t>
  </si>
  <si>
    <t>Charging Capacitor, Current Source</t>
  </si>
  <si>
    <t xml:space="preserve">Ramp Period = </t>
  </si>
  <si>
    <t xml:space="preserve">Ramp Rate = </t>
  </si>
  <si>
    <t>T = V/S</t>
  </si>
  <si>
    <t xml:space="preserve">Final Voltage </t>
  </si>
  <si>
    <t xml:space="preserve">Gain = </t>
  </si>
  <si>
    <t xml:space="preserve">Non-Inverting Op-Amp Gain </t>
  </si>
  <si>
    <t>Output =</t>
  </si>
  <si>
    <t xml:space="preserve">Input </t>
  </si>
  <si>
    <t xml:space="preserve">Inverting Op-Amp Gain </t>
  </si>
  <si>
    <t>Antenna Gain</t>
  </si>
  <si>
    <t xml:space="preserve">A + B </t>
  </si>
  <si>
    <t xml:space="preserve">B + C </t>
  </si>
  <si>
    <t xml:space="preserve">A + C </t>
  </si>
  <si>
    <t>(A+B)+(A+C)-(B+C)</t>
  </si>
  <si>
    <t xml:space="preserve">A = </t>
  </si>
  <si>
    <t xml:space="preserve">B = </t>
  </si>
  <si>
    <t>(A+B)+(B+C)-(A+C)</t>
  </si>
  <si>
    <t>(B+C)+(A+C)-(A+B)</t>
  </si>
  <si>
    <t>Y1</t>
  </si>
  <si>
    <t>Op-Amp Gain Non-Inverting</t>
  </si>
  <si>
    <t>Op-Amp Gain Inverting</t>
  </si>
  <si>
    <t>Circumference of a Circle</t>
  </si>
  <si>
    <t xml:space="preserve">r = </t>
  </si>
  <si>
    <t>c = 2 x π x r</t>
  </si>
  <si>
    <t xml:space="preserve">c = </t>
  </si>
  <si>
    <t xml:space="preserve">Radius </t>
  </si>
  <si>
    <t xml:space="preserve">Diameter </t>
  </si>
  <si>
    <t>c = π x d</t>
  </si>
  <si>
    <t>Area of a Circle</t>
  </si>
  <si>
    <t>a = π x r^2</t>
  </si>
  <si>
    <t xml:space="preserve">a = </t>
  </si>
  <si>
    <t xml:space="preserve">Area </t>
  </si>
  <si>
    <t>r = (a / π)^0.5</t>
  </si>
  <si>
    <t>M17</t>
  </si>
  <si>
    <t>a = π x (d/2)^2</t>
  </si>
  <si>
    <t>d = (a / π)^0.5 x 2</t>
  </si>
  <si>
    <t xml:space="preserve">d = </t>
  </si>
  <si>
    <t>Circumference of a Circle (r)</t>
  </si>
  <si>
    <t>Circumference of a Circle (d)</t>
  </si>
  <si>
    <t>M9</t>
  </si>
  <si>
    <t>Diameter/Radius of a Circle</t>
  </si>
  <si>
    <t>M33</t>
  </si>
  <si>
    <t>GHz</t>
  </si>
  <si>
    <t>Voltage Regulator</t>
  </si>
  <si>
    <t>Vout =</t>
  </si>
  <si>
    <t>Vout = Vadj x (1 + R1/R2)</t>
  </si>
  <si>
    <t>ADA-4543</t>
  </si>
  <si>
    <t>Near/Far Field Distance</t>
  </si>
  <si>
    <r>
      <t>Near/Far = 2D^2/</t>
    </r>
    <r>
      <rPr>
        <sz val="10"/>
        <rFont val="Calibri"/>
        <family val="2"/>
      </rPr>
      <t>λ</t>
    </r>
  </si>
  <si>
    <t>Near/Far =</t>
  </si>
  <si>
    <t>Near/Far field Distance</t>
  </si>
  <si>
    <t xml:space="preserve">Width </t>
  </si>
  <si>
    <t xml:space="preserve">Length </t>
  </si>
  <si>
    <t>Perimeter = 2w + 2l</t>
  </si>
  <si>
    <t xml:space="preserve">Perimeter = </t>
  </si>
  <si>
    <t>Area &amp; Perimeter of a Rectangle</t>
  </si>
  <si>
    <t>Area = w x l</t>
  </si>
  <si>
    <t xml:space="preserve">Area = </t>
  </si>
  <si>
    <t>Width = A^0.5</t>
  </si>
  <si>
    <t xml:space="preserve">Width = </t>
  </si>
  <si>
    <t>Width &amp; Perimeter of Square</t>
  </si>
  <si>
    <t>Perimeter = 4 x A^0.5</t>
  </si>
  <si>
    <t>Largest Antenna Dimension</t>
  </si>
  <si>
    <t xml:space="preserve">Quarter wave = </t>
  </si>
  <si>
    <t xml:space="preserve">Half wave = </t>
  </si>
  <si>
    <t>3) Blocks can be linked in order to make more complex calculations. Simply reference the output (RED text) of one block from</t>
  </si>
  <si>
    <t>4) No cells are locked so all calculations can be checked, studied or copied.</t>
  </si>
  <si>
    <t>5) Some blocks have hidden calculations that could become corrupted. If extra calculations are required, use the scratch areas.</t>
  </si>
  <si>
    <t>Area of a circle (radius)</t>
  </si>
  <si>
    <t>Area of a circle (diameter)</t>
  </si>
  <si>
    <t>1) Click on link to bring required block to centre/left of page</t>
  </si>
  <si>
    <t>Fundamental Frequency</t>
  </si>
  <si>
    <t xml:space="preserve">Radians </t>
  </si>
  <si>
    <t xml:space="preserve">Mechanical Length </t>
  </si>
  <si>
    <t xml:space="preserve">Miles </t>
  </si>
  <si>
    <t xml:space="preserve">Conversion = </t>
  </si>
  <si>
    <t>Maths</t>
  </si>
  <si>
    <t>Delay</t>
  </si>
  <si>
    <t>P37</t>
  </si>
  <si>
    <t xml:space="preserve">Electrical length = </t>
  </si>
  <si>
    <t>3 x 10^8</t>
  </si>
  <si>
    <t xml:space="preserve">Delay = </t>
  </si>
  <si>
    <t>Delay = L / c</t>
  </si>
  <si>
    <t xml:space="preserve">Speed of Light (c) = </t>
  </si>
  <si>
    <t xml:space="preserve">Velocity Factor </t>
  </si>
  <si>
    <t>Windings</t>
  </si>
  <si>
    <t>Time</t>
  </si>
  <si>
    <t>Transformer Ratio</t>
  </si>
  <si>
    <t xml:space="preserve">Primary Turns </t>
  </si>
  <si>
    <t xml:space="preserve">Secondary Turns </t>
  </si>
  <si>
    <t xml:space="preserve"> Volts</t>
  </si>
  <si>
    <t xml:space="preserve">Primary Impedance </t>
  </si>
  <si>
    <t xml:space="preserve"> Ohms</t>
  </si>
  <si>
    <t>Secondary Voltage = Vp x Tp / Ts</t>
  </si>
  <si>
    <t xml:space="preserve">Secondary Impedance </t>
  </si>
  <si>
    <t>Skin Depth</t>
  </si>
  <si>
    <t xml:space="preserve">Rac = </t>
  </si>
  <si>
    <t>Ohms/mm</t>
  </si>
  <si>
    <t>Velocity Factor</t>
  </si>
  <si>
    <t xml:space="preserve">Er </t>
  </si>
  <si>
    <t>vf = 1 / Er^0.5</t>
  </si>
  <si>
    <t>vf =</t>
  </si>
  <si>
    <t>Match</t>
  </si>
  <si>
    <t>Z Complex = R - jXc</t>
  </si>
  <si>
    <t>Conductor Properties</t>
  </si>
  <si>
    <t>μ</t>
  </si>
  <si>
    <t xml:space="preserve">Silver </t>
  </si>
  <si>
    <t xml:space="preserve">Gold </t>
  </si>
  <si>
    <t xml:space="preserve">Copper </t>
  </si>
  <si>
    <t xml:space="preserve">Aluminium </t>
  </si>
  <si>
    <t>Skin Effect Depth</t>
  </si>
  <si>
    <t>ρ x 10^-8</t>
  </si>
  <si>
    <t>x10^-8 Ωm</t>
  </si>
  <si>
    <t>μm</t>
  </si>
  <si>
    <t xml:space="preserve">Resistivity (ρ) </t>
  </si>
  <si>
    <t xml:space="preserve">Relative Permeability (μr) </t>
  </si>
  <si>
    <t xml:space="preserve">Nickel </t>
  </si>
  <si>
    <t xml:space="preserve">Z Complex = </t>
  </si>
  <si>
    <t xml:space="preserve">Z Absolute = </t>
  </si>
  <si>
    <t>Secondary Impedance = Zp x Tp^2 / Ts^2</t>
  </si>
  <si>
    <t>dc Resistance of a strait wire</t>
  </si>
  <si>
    <t>Rdc = pl/A</t>
  </si>
  <si>
    <t xml:space="preserve">Rdc = </t>
  </si>
  <si>
    <t xml:space="preserve">  p x 10^-8 x l  </t>
  </si>
  <si>
    <t>Series Network = Real + Imaginary</t>
  </si>
  <si>
    <t>Rs^2 +  Xs^2</t>
  </si>
  <si>
    <t xml:space="preserve">Rp = </t>
  </si>
  <si>
    <t>Rs</t>
  </si>
  <si>
    <t xml:space="preserve">Xp = </t>
  </si>
  <si>
    <t>Xs</t>
  </si>
  <si>
    <t>Xc = 1 / 2π fc</t>
  </si>
  <si>
    <t xml:space="preserve"> </t>
  </si>
  <si>
    <t>or L = Xl /( 2 π f)</t>
  </si>
  <si>
    <t>C = 1 /( 2 π Xc)</t>
  </si>
  <si>
    <t xml:space="preserve">2) Some calculations use complex numbers or functions and require the Analysis Toolpack and Analysis Toolpack - VBA, which </t>
  </si>
  <si>
    <t xml:space="preserve">    can be found under Tools / Add-Ins (if any calculation result indicates #VALUE!, then the Analysis Toolpack may not be installed).</t>
  </si>
  <si>
    <t>Link from Skin Depth Cells</t>
  </si>
  <si>
    <t>Skin Depth x π x d</t>
  </si>
  <si>
    <t>Approximate ac Resistance of a strait wire</t>
  </si>
  <si>
    <t>Only usable when r &gt;&gt; δ</t>
  </si>
  <si>
    <t xml:space="preserve">Skin Depth (δ) = </t>
  </si>
  <si>
    <t>Skin Depth (δ) =(ρ  / (π x f x μo x μr)) ^0.5 m</t>
  </si>
  <si>
    <t>Wheeler Formula (Single Layer Air Inductor)</t>
  </si>
  <si>
    <t xml:space="preserve">    N^2 x R^2    </t>
  </si>
  <si>
    <t>μ x π x N^2 x R^2</t>
  </si>
  <si>
    <t>(6 x R) + (9 x l) + (10 x d)</t>
  </si>
  <si>
    <t xml:space="preserve">Number of Turns (N) </t>
  </si>
  <si>
    <t xml:space="preserve">Thickness (d) </t>
  </si>
  <si>
    <t xml:space="preserve">Coil Length (l) </t>
  </si>
  <si>
    <t>(9 x R) + (10 x l)</t>
  </si>
  <si>
    <t xml:space="preserve">Mean Radius (R) </t>
  </si>
  <si>
    <t>l ( 1 + 0.4502(2R/l))</t>
  </si>
  <si>
    <t>Where</t>
  </si>
  <si>
    <t>R&amp;l are in inches</t>
  </si>
  <si>
    <t xml:space="preserve">Mean Radius </t>
  </si>
  <si>
    <t>Where R is the inner radius</t>
  </si>
  <si>
    <t>E14</t>
  </si>
  <si>
    <t>Henrys</t>
  </si>
  <si>
    <t xml:space="preserve"> Most Accurate</t>
  </si>
  <si>
    <t xml:space="preserve"> Accurate</t>
  </si>
  <si>
    <t xml:space="preserve"> Least Accurate!</t>
  </si>
  <si>
    <t>Cascaded Amplifier Noise Figure</t>
  </si>
  <si>
    <t>Gain</t>
  </si>
  <si>
    <t>Noise Figure</t>
  </si>
  <si>
    <t xml:space="preserve">Stage 1 </t>
  </si>
  <si>
    <t xml:space="preserve">Stage 2 </t>
  </si>
  <si>
    <t xml:space="preserve">Stage 3 </t>
  </si>
  <si>
    <t xml:space="preserve"> dB</t>
  </si>
  <si>
    <t>F2 - 1</t>
  </si>
  <si>
    <t>+</t>
  </si>
  <si>
    <t>F3 - 1</t>
  </si>
  <si>
    <t>G1G2</t>
  </si>
  <si>
    <t xml:space="preserve">Total Noise Factor </t>
  </si>
  <si>
    <t>Stage 1</t>
  </si>
  <si>
    <t xml:space="preserve"> Noise Factor </t>
  </si>
  <si>
    <t>Stage 2</t>
  </si>
  <si>
    <t>Stage 3</t>
  </si>
  <si>
    <t xml:space="preserve">Total Noise Figure </t>
  </si>
  <si>
    <t xml:space="preserve">Total Gain </t>
  </si>
  <si>
    <t>Gain (x)</t>
  </si>
  <si>
    <t>F =  F1   +</t>
  </si>
  <si>
    <t>Noise Figure (Cascaded Amplifier)</t>
  </si>
  <si>
    <t>Q37</t>
  </si>
  <si>
    <t>ac Resistance of a strait wire</t>
  </si>
  <si>
    <t xml:space="preserve">Ratio = </t>
  </si>
  <si>
    <t>Ratio = 10 Log (P1/P2)</t>
  </si>
  <si>
    <t>Ratio = 20 Log (V1/V2)</t>
  </si>
  <si>
    <t>Impedance of Inductor and  Resistor in Series</t>
  </si>
  <si>
    <t>Impedance of Inductor and  Resistor in Parallel</t>
  </si>
  <si>
    <t>Xl = 2π fL</t>
  </si>
  <si>
    <t>Voltage Vector</t>
  </si>
  <si>
    <t>Impedance of Inductor and Resistor in Parallel</t>
  </si>
  <si>
    <t>Impedance of Inductor and Resistor in Series</t>
  </si>
  <si>
    <t>Capacitance</t>
  </si>
  <si>
    <t>Z Complex = R - jXL</t>
  </si>
  <si>
    <t xml:space="preserve">XL = </t>
  </si>
  <si>
    <t>XL = 2π fL</t>
  </si>
  <si>
    <t>Xc = 1/2π fC</t>
  </si>
  <si>
    <t>Digits (Farads)</t>
  </si>
  <si>
    <t>Digits (Ohms)</t>
  </si>
  <si>
    <t>Digits (Henries)</t>
  </si>
  <si>
    <t>Z Complex = R + (Xl- jXc)</t>
  </si>
  <si>
    <t xml:space="preserve">X = </t>
  </si>
  <si>
    <t>X = (Xc x Xl) / (Xc + Xl)</t>
  </si>
  <si>
    <t xml:space="preserve">Z Complex = (R x XL^2) / (R^2 + XL^2) -(j)(R^2 x XL) / (R^2 + XL^2) </t>
  </si>
  <si>
    <t>Impedance of Capacitor, Inductor and  Resistor in Series</t>
  </si>
  <si>
    <t>Impedance of Capacitor, Inductor and  Resistor in Parallel</t>
  </si>
  <si>
    <t xml:space="preserve">Z Complex = (R x X^2) / (R^2 + X^2) +(j)(R^2 x X) / (R^2 + X^2) </t>
  </si>
  <si>
    <t xml:space="preserve">XT = </t>
  </si>
  <si>
    <t>XT = -(j)(XL x Xc) / (XL + Xc)</t>
  </si>
  <si>
    <t>XT = XL + Xc</t>
  </si>
  <si>
    <t>Reactance of Capacitor and Inductor in Series</t>
  </si>
  <si>
    <t>Reactance of Capacitor and Inductor in Parallel</t>
  </si>
  <si>
    <t>3 Phase Supplies</t>
  </si>
  <si>
    <t xml:space="preserve">Single Phase to Neutral </t>
  </si>
  <si>
    <t>Phase to Phase =</t>
  </si>
  <si>
    <t>Phase to Neutral * 3^0.5</t>
  </si>
  <si>
    <t xml:space="preserve">Phase to Phase = </t>
  </si>
  <si>
    <t>Zener Diode + Power Transistor on Heatsink, Voltage Regulation</t>
  </si>
  <si>
    <t>Zener Diode + Resistor, Voltage Regulation</t>
  </si>
  <si>
    <t xml:space="preserve">Zener ZD1 </t>
  </si>
  <si>
    <t xml:space="preserve">ZD1 Voltage Tolerance </t>
  </si>
  <si>
    <t xml:space="preserve">Resistor R1 </t>
  </si>
  <si>
    <t xml:space="preserve">Supply Voltage </t>
  </si>
  <si>
    <t xml:space="preserve">Required O/P Current </t>
  </si>
  <si>
    <t>A</t>
  </si>
  <si>
    <t xml:space="preserve">TR1 Vbe @ Ic&lt;0.1 A </t>
  </si>
  <si>
    <t xml:space="preserve">TR1 Vbe @ Ic&gt;0.1  A </t>
  </si>
  <si>
    <t xml:space="preserve">TR1 hfe </t>
  </si>
  <si>
    <t xml:space="preserve">Ambient Temperature </t>
  </si>
  <si>
    <t>°C</t>
  </si>
  <si>
    <t xml:space="preserve">TR1 Therm Resistance </t>
  </si>
  <si>
    <t>°C/W</t>
  </si>
  <si>
    <t xml:space="preserve">Heatsink Therm Res </t>
  </si>
  <si>
    <t xml:space="preserve">ZD1 Max Voltage </t>
  </si>
  <si>
    <t>ZD1 Min Voltage</t>
  </si>
  <si>
    <t xml:space="preserve">TR1 Vbe </t>
  </si>
  <si>
    <t>Current in R1 = (Supply Voltage - Zener Voltage) / R</t>
  </si>
  <si>
    <t>Current in R1 = (Supply Voltage - Zener Voltage) / R, or Required Output Current</t>
  </si>
  <si>
    <t>R1 Voltage</t>
  </si>
  <si>
    <t xml:space="preserve">TR1 base current (Ib)  </t>
  </si>
  <si>
    <t xml:space="preserve">Output Voltage </t>
  </si>
  <si>
    <t xml:space="preserve">ZD1 current </t>
  </si>
  <si>
    <t xml:space="preserve">Output Voltage TR1 Ve </t>
  </si>
  <si>
    <t xml:space="preserve">Output Current </t>
  </si>
  <si>
    <t xml:space="preserve">ZD1 </t>
  </si>
  <si>
    <t>TR1 Ptot</t>
  </si>
  <si>
    <t xml:space="preserve">TR1 Junction Temp </t>
  </si>
  <si>
    <t>Regulator (Transistor/Zener)</t>
  </si>
  <si>
    <t>Regulator (Resistor/Zener)</t>
  </si>
  <si>
    <t>A36</t>
  </si>
  <si>
    <t>I36</t>
  </si>
  <si>
    <t xml:space="preserve">Include Mismatch Losses </t>
  </si>
  <si>
    <t>YES</t>
  </si>
  <si>
    <t>NO</t>
  </si>
  <si>
    <t>YES/NO</t>
  </si>
  <si>
    <t>Vector Voltage Addition</t>
  </si>
  <si>
    <t>Voltage Vector Addition</t>
  </si>
  <si>
    <t>T13</t>
  </si>
  <si>
    <t>Monostable</t>
  </si>
  <si>
    <t xml:space="preserve">RA </t>
  </si>
  <si>
    <t xml:space="preserve">RA Tolerance </t>
  </si>
  <si>
    <t xml:space="preserve">C Tolerance </t>
  </si>
  <si>
    <t>1.1 x R x C</t>
  </si>
  <si>
    <t>seconds</t>
  </si>
  <si>
    <t>ms</t>
  </si>
  <si>
    <t xml:space="preserve">Min Period = </t>
  </si>
  <si>
    <t xml:space="preserve">Max Period = </t>
  </si>
  <si>
    <t>Astable</t>
  </si>
  <si>
    <t xml:space="preserve">RB Tolerance </t>
  </si>
  <si>
    <t xml:space="preserve">Time High = </t>
  </si>
  <si>
    <t>0.693(RA + RB) x C</t>
  </si>
  <si>
    <t xml:space="preserve">Min Time High = </t>
  </si>
  <si>
    <t xml:space="preserve">Max Time High = </t>
  </si>
  <si>
    <t xml:space="preserve">Time Low = </t>
  </si>
  <si>
    <t>0.693 x RB x C</t>
  </si>
  <si>
    <t xml:space="preserve">Min Time Low = </t>
  </si>
  <si>
    <t xml:space="preserve">Max TimeLow = </t>
  </si>
  <si>
    <t xml:space="preserve">Vref </t>
  </si>
  <si>
    <t xml:space="preserve">Thermal Res to Case </t>
  </si>
  <si>
    <t xml:space="preserve">Regulated Current </t>
  </si>
  <si>
    <t xml:space="preserve">Junction Temperature </t>
  </si>
  <si>
    <t>Sine Angle</t>
  </si>
  <si>
    <t>Hypotenuse from Sine</t>
  </si>
  <si>
    <t xml:space="preserve">Opposite </t>
  </si>
  <si>
    <t xml:space="preserve">Hypotenuse  </t>
  </si>
  <si>
    <t xml:space="preserve">Angle   </t>
  </si>
  <si>
    <t>degrees</t>
  </si>
  <si>
    <t>Angle θ = arcsine (O / H)</t>
  </si>
  <si>
    <t>Hypotenuse = O / sine θ</t>
  </si>
  <si>
    <t xml:space="preserve">Angle θ = </t>
  </si>
  <si>
    <t xml:space="preserve">Hypotenuse = </t>
  </si>
  <si>
    <t>Cosine Angle</t>
  </si>
  <si>
    <t>Hypotenuse from Cosine</t>
  </si>
  <si>
    <t xml:space="preserve">Adjacent </t>
  </si>
  <si>
    <t>Angle θ = arccosine (A / H)</t>
  </si>
  <si>
    <t>Hypotenuse = A / cosine θ</t>
  </si>
  <si>
    <t>Tangent Angle</t>
  </si>
  <si>
    <t>Adjacent from Cosine</t>
  </si>
  <si>
    <t xml:space="preserve">Hypotenuse </t>
  </si>
  <si>
    <t>Angle θ = arctangent (O /A)</t>
  </si>
  <si>
    <t>Adjacent = H x  cosine θ</t>
  </si>
  <si>
    <t xml:space="preserve">Adjacent = </t>
  </si>
  <si>
    <t>Opposite from Sine</t>
  </si>
  <si>
    <t>Adjacent from Tangent</t>
  </si>
  <si>
    <t>Opposite = H x sine θ</t>
  </si>
  <si>
    <t>Adjacent = O / tan θ</t>
  </si>
  <si>
    <t xml:space="preserve">Opposite = </t>
  </si>
  <si>
    <t>Opposite from Tangent</t>
  </si>
  <si>
    <t xml:space="preserve">555 Timer </t>
  </si>
  <si>
    <t>555 Timer</t>
  </si>
  <si>
    <t>S1</t>
  </si>
  <si>
    <t>S10</t>
  </si>
  <si>
    <t>S19</t>
  </si>
  <si>
    <t>V19</t>
  </si>
  <si>
    <t>V10</t>
  </si>
  <si>
    <t>S28</t>
  </si>
  <si>
    <t>S37</t>
  </si>
  <si>
    <t xml:space="preserve">Zener Regulator </t>
  </si>
  <si>
    <t>Zener Regulator with Transistor</t>
  </si>
  <si>
    <t>A112</t>
  </si>
  <si>
    <t>J112</t>
  </si>
  <si>
    <t>D112</t>
  </si>
  <si>
    <t>G112</t>
  </si>
  <si>
    <t>M112</t>
  </si>
  <si>
    <t>P112</t>
  </si>
  <si>
    <t>A73 - L73</t>
  </si>
  <si>
    <t>A85</t>
  </si>
  <si>
    <t>Capacitor Charging Times Resistor, Current Source</t>
  </si>
  <si>
    <t xml:space="preserve">Input (Vin) </t>
  </si>
  <si>
    <t>Output (Vout) = V / (R1 + R2) x R2</t>
  </si>
  <si>
    <t xml:space="preserve">Voltage (Va) </t>
  </si>
  <si>
    <t xml:space="preserve">Resistor Ra </t>
  </si>
  <si>
    <t xml:space="preserve">Voltage (Vb) </t>
  </si>
  <si>
    <t xml:space="preserve">Resistor Rb </t>
  </si>
  <si>
    <t xml:space="preserve">Resistor Rc </t>
  </si>
  <si>
    <t xml:space="preserve">Max Junction Temp </t>
  </si>
  <si>
    <t>N1</t>
  </si>
  <si>
    <t>Schmitt Trigger (Inverting)</t>
  </si>
  <si>
    <t>R1</t>
  </si>
  <si>
    <t>V1</t>
  </si>
  <si>
    <t>AB1</t>
  </si>
  <si>
    <t>D34</t>
  </si>
  <si>
    <t>G34</t>
  </si>
  <si>
    <t xml:space="preserve">Single Phase = </t>
  </si>
  <si>
    <t>Single Phase x 2</t>
  </si>
  <si>
    <t>Miles to Kilometres</t>
  </si>
  <si>
    <t>MIMIC DC Conditions</t>
  </si>
  <si>
    <t>MIMIC Tolerances</t>
  </si>
  <si>
    <t>Miles and Kilometres</t>
  </si>
  <si>
    <t>2 Phase Supplies</t>
  </si>
  <si>
    <t>us</t>
  </si>
  <si>
    <t>s</t>
  </si>
  <si>
    <t>ns</t>
  </si>
  <si>
    <t>ps</t>
  </si>
  <si>
    <t>V/s</t>
  </si>
  <si>
    <t>v = 1 / (LC)^0.5</t>
  </si>
  <si>
    <t xml:space="preserve">L </t>
  </si>
  <si>
    <t xml:space="preserve">C </t>
  </si>
  <si>
    <t>v =</t>
  </si>
  <si>
    <t>µH/m</t>
  </si>
  <si>
    <r>
      <t>µ</t>
    </r>
    <r>
      <rPr>
        <sz val="10"/>
        <rFont val="Arial"/>
        <family val="2"/>
      </rPr>
      <t>H/m</t>
    </r>
  </si>
  <si>
    <t>Velocity Factor from Er</t>
  </si>
  <si>
    <t>v = 1 / c(LC)^0.5</t>
  </si>
  <si>
    <t>Velocity Factor of Lossless Tx Line</t>
  </si>
  <si>
    <t>Velocity of Propagation of Lossless Tx Line</t>
  </si>
  <si>
    <t xml:space="preserve">Circumference </t>
  </si>
  <si>
    <t>c = (4 x π x a)^0.5</t>
  </si>
  <si>
    <t>r = c / (2 x π)</t>
  </si>
  <si>
    <t>d = c / π</t>
  </si>
  <si>
    <t>a = c^2 / (4 x π)</t>
  </si>
  <si>
    <t>m^2</t>
  </si>
  <si>
    <t>m2</t>
  </si>
  <si>
    <t>(With Reciprocity)</t>
  </si>
  <si>
    <t>Slant Height of Cone</t>
  </si>
  <si>
    <t>Slant Height =</t>
  </si>
  <si>
    <t>Angle</t>
  </si>
  <si>
    <t>Height of Cone</t>
  </si>
  <si>
    <t>Opposite = A x tan θ</t>
  </si>
  <si>
    <t>Height =</t>
  </si>
  <si>
    <t xml:space="preserve">Radius of base </t>
  </si>
  <si>
    <t>Angle of Cone 'Cut Out'</t>
  </si>
  <si>
    <t>Circumference = 2 x π x r</t>
  </si>
  <si>
    <t xml:space="preserve">Base Circumference = </t>
  </si>
  <si>
    <t xml:space="preserve">Cut Out Circumference = </t>
  </si>
  <si>
    <t>r / cos θ</t>
  </si>
  <si>
    <t>r x tan θ</t>
  </si>
  <si>
    <t>r / cos θ x 2 x π</t>
  </si>
  <si>
    <t xml:space="preserve">Cut Out Angle = </t>
  </si>
  <si>
    <t>Base/Cut Out x 360</t>
  </si>
  <si>
    <t>Cone - Slant Height</t>
  </si>
  <si>
    <t>Cone -  Angle of Cut Out</t>
  </si>
  <si>
    <t>Cone - Height</t>
  </si>
  <si>
    <t>A45</t>
  </si>
  <si>
    <t>A54</t>
  </si>
  <si>
    <t>E45</t>
  </si>
  <si>
    <t xml:space="preserve">Peak Voltage 1 (V1) </t>
  </si>
  <si>
    <t xml:space="preserve">Phase Angle 1 (A1) </t>
  </si>
  <si>
    <t xml:space="preserve">Peak Voltage 2 (V2) </t>
  </si>
  <si>
    <t xml:space="preserve">Phase Angle 2 (A2) </t>
  </si>
  <si>
    <t>Mag x =V1 x Cos (A1) + V2 x Cos (A2)</t>
  </si>
  <si>
    <t>Mag y =V1 x Sin (A1) + V2 x Sin (A2)</t>
  </si>
  <si>
    <t>Vector Mag = (x^2 + y^2)^0.5</t>
  </si>
  <si>
    <t>Vector Angle = Atan (x/y)</t>
  </si>
  <si>
    <t xml:space="preserve">Mag x = </t>
  </si>
  <si>
    <t xml:space="preserve">Mag y = </t>
  </si>
  <si>
    <t xml:space="preserve">Vector Sum Magnitude = </t>
  </si>
  <si>
    <t xml:space="preserve">Vector Sum Angle = </t>
  </si>
  <si>
    <t>Voltage Regulator IC (eg LM317)</t>
  </si>
  <si>
    <t xml:space="preserve">Total </t>
  </si>
  <si>
    <t>1.44/C(RA+2RB)</t>
  </si>
  <si>
    <t xml:space="preserve">RA (To supply) </t>
  </si>
  <si>
    <t xml:space="preserve">RB (from RA to C) </t>
  </si>
  <si>
    <t xml:space="preserve">Capacitance(RB to ground) </t>
  </si>
  <si>
    <t>(R1 + R2)/R1</t>
  </si>
  <si>
    <t>R2/R1</t>
  </si>
  <si>
    <t>Integrator 3 dB Point</t>
  </si>
  <si>
    <t xml:space="preserve">f = </t>
  </si>
  <si>
    <t xml:space="preserve">Resistance (Rf) </t>
  </si>
  <si>
    <t xml:space="preserve">Capacitance (Cf) </t>
  </si>
  <si>
    <r>
      <t>2</t>
    </r>
    <r>
      <rPr>
        <sz val="10"/>
        <rFont val="Georgia"/>
        <family val="1"/>
      </rPr>
      <t>π</t>
    </r>
    <r>
      <rPr>
        <sz val="10"/>
        <rFont val="Arial"/>
        <family val="0"/>
      </rPr>
      <t>RfCf</t>
    </r>
  </si>
  <si>
    <t>J34</t>
  </si>
  <si>
    <t xml:space="preserve">Gain @ dc </t>
  </si>
  <si>
    <t xml:space="preserve">Ft </t>
  </si>
  <si>
    <t>Approximate Transistor Gain @ Frequency</t>
  </si>
  <si>
    <t>x</t>
  </si>
  <si>
    <t>Gain = (1 - Frequency/Ft)x Gain @ dc</t>
  </si>
  <si>
    <t>A24</t>
  </si>
  <si>
    <t xml:space="preserve">Pd = </t>
  </si>
  <si>
    <t>Rc(RbVa+RaVb)</t>
  </si>
  <si>
    <t>Iim</t>
  </si>
  <si>
    <t>Milli Amps</t>
  </si>
  <si>
    <t xml:space="preserve">R1 = </t>
  </si>
  <si>
    <t xml:space="preserve">Output Voltage High (Voh) </t>
  </si>
  <si>
    <t xml:space="preserve">Output Voltage Low (Vol) </t>
  </si>
  <si>
    <t>Instrumentation Amplifier (AD632)</t>
  </si>
  <si>
    <t xml:space="preserve">Gain Resistor (Rg) </t>
  </si>
  <si>
    <t xml:space="preserve">1 + </t>
  </si>
  <si>
    <t>100K Ohms</t>
  </si>
  <si>
    <t>Rg</t>
  </si>
  <si>
    <t xml:space="preserve">Ouput = </t>
  </si>
  <si>
    <t>Vin x Gain</t>
  </si>
  <si>
    <t>Transistor Gain</t>
  </si>
  <si>
    <t>A34</t>
  </si>
  <si>
    <t>Instrumentaion Amplifier</t>
  </si>
  <si>
    <t>N34</t>
  </si>
  <si>
    <t>Schmitt Trigger (Resistor Value Input)</t>
  </si>
  <si>
    <t xml:space="preserve">Inverting Input (Vref) </t>
  </si>
  <si>
    <t>Vref  + ( R1 * ((( Vref-Vol) / R3 ) + ( Vref / R2 )))</t>
  </si>
  <si>
    <t>Vref ( R1 * ((( Voh - Vref ) / R3 ) - ( Vref / R2 ))</t>
  </si>
  <si>
    <t>Schmitt Trigger (Trigger Level Input)</t>
  </si>
  <si>
    <t>Inverting Schmitt Trigger (Resistor Value Input)</t>
  </si>
  <si>
    <t xml:space="preserve">Reference Voltage (Vref) </t>
  </si>
  <si>
    <t xml:space="preserve">Ouput Voltage High (Voh) </t>
  </si>
  <si>
    <t xml:space="preserve">Ouput Voltage Low (Vol) </t>
  </si>
  <si>
    <t>High Threshold Voltage  (Vth) =</t>
  </si>
  <si>
    <t>Low Threshold Voltage (Vtl) =</t>
  </si>
  <si>
    <t>Inverting Schmitt Trigger (Trigger Level Input)</t>
  </si>
  <si>
    <t>mA</t>
  </si>
  <si>
    <t>Vref -Vtl / Irefmax</t>
  </si>
  <si>
    <t xml:space="preserve">R2 = </t>
  </si>
  <si>
    <t xml:space="preserve">                                     Vtl                   </t>
  </si>
  <si>
    <t xml:space="preserve">    Vref - Vtl</t>
  </si>
  <si>
    <t xml:space="preserve">  -</t>
  </si>
  <si>
    <t>Vtl - Vol</t>
  </si>
  <si>
    <t xml:space="preserve">R3 = </t>
  </si>
  <si>
    <t>Vtl(V0h - Vth)</t>
  </si>
  <si>
    <t xml:space="preserve"> + </t>
  </si>
  <si>
    <t>Vth(Vtl - Vol)</t>
  </si>
  <si>
    <t>Vth(Vref - Vtl)</t>
  </si>
  <si>
    <t xml:space="preserve"> -</t>
  </si>
  <si>
    <t>Vtl(Vref - Vth)</t>
  </si>
  <si>
    <t xml:space="preserve">Maximum Reference Current (Irm) </t>
  </si>
  <si>
    <t>Farads</t>
  </si>
  <si>
    <t xml:space="preserve">i[t] = </t>
  </si>
  <si>
    <t>V/R EXP(-t/RC)</t>
  </si>
  <si>
    <t xml:space="preserve">v[t] = </t>
  </si>
  <si>
    <t>Capacitor Volts</t>
  </si>
  <si>
    <t>Resistor Volts</t>
  </si>
  <si>
    <t>Henries</t>
  </si>
  <si>
    <t>Voltage</t>
  </si>
  <si>
    <t>V/R (1 - Exp(-R/L t))</t>
  </si>
  <si>
    <t>Charging Inductor, Inductance</t>
  </si>
  <si>
    <t>L = T x R</t>
  </si>
  <si>
    <t>mH</t>
  </si>
  <si>
    <t>Charging Capacitor, dv/dt</t>
  </si>
  <si>
    <t>Charging Inductor, dv/dt</t>
  </si>
  <si>
    <t>P71</t>
  </si>
  <si>
    <t>Capacitor Charging dv/dt</t>
  </si>
  <si>
    <t>Inductor Charging dv/dt</t>
  </si>
  <si>
    <t>P85</t>
  </si>
  <si>
    <t>Velocity of Propagation</t>
  </si>
  <si>
    <t>P45</t>
  </si>
  <si>
    <t>Velocity Factor of Lossless Tx line</t>
  </si>
  <si>
    <t>P54</t>
  </si>
  <si>
    <t>T37</t>
  </si>
  <si>
    <t xml:space="preserve">Maximum Input Current (Iim) </t>
  </si>
  <si>
    <t>Vth - Vref</t>
  </si>
  <si>
    <t>Voh - Vol</t>
  </si>
  <si>
    <t>Iim - (Vtl - Vref) / R1</t>
  </si>
  <si>
    <t>Vref</t>
  </si>
  <si>
    <t>Iim - (Vref - Vol) / R3</t>
  </si>
  <si>
    <t xml:space="preserve">Maximum Input Current = </t>
  </si>
  <si>
    <t xml:space="preserve">High Threshhold Voltage = </t>
  </si>
  <si>
    <t>Low Threshold Voltage =</t>
  </si>
  <si>
    <t>High Threshhold Voltage (Vth)</t>
  </si>
  <si>
    <t xml:space="preserve">Low Threshhold Voltage (Vtl) </t>
  </si>
  <si>
    <t xml:space="preserve">High Threshhold Voltage (Vth) </t>
  </si>
  <si>
    <t xml:space="preserve">Low Threshold Voltage (Vtl) </t>
  </si>
  <si>
    <t xml:space="preserve">Maximum Refference Current = </t>
  </si>
  <si>
    <t xml:space="preserve">   R2</t>
  </si>
  <si>
    <t xml:space="preserve">         R3</t>
  </si>
  <si>
    <t xml:space="preserve">Reference Resistor (R1) </t>
  </si>
  <si>
    <t>R2(R3Vref + R1Voh)</t>
  </si>
  <si>
    <t>R2R3 + R2R1 + R1R3</t>
  </si>
  <si>
    <t>R2(R3Vref + R1Vol)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</si>
</sst>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"/>
    <numFmt numFmtId="180" formatCode="0.0"/>
    <numFmt numFmtId="181" formatCode="0.000000000"/>
    <numFmt numFmtId="182" formatCode="0.00000"/>
    <numFmt numFmtId="183" formatCode="0.000000"/>
    <numFmt numFmtId="184" formatCode="#\ ???/???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"/>
    <numFmt numFmtId="190" formatCode="[$-809]dd\ mmmm\ yyyy"/>
    <numFmt numFmtId="191" formatCode="#,##0.000"/>
    <numFmt numFmtId="192" formatCode="&quot;£&quot;#,##0.000"/>
    <numFmt numFmtId="193" formatCode="0.0000000"/>
    <numFmt numFmtId="194" formatCode="0.0000000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47"/>
      <name val="Arial"/>
      <family val="2"/>
    </font>
    <font>
      <b/>
      <sz val="10"/>
      <color indexed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Geneva"/>
      <family val="0"/>
    </font>
    <font>
      <b/>
      <sz val="10"/>
      <color indexed="47"/>
      <name val="Arial"/>
      <family val="2"/>
    </font>
    <font>
      <b/>
      <sz val="10"/>
      <color indexed="10"/>
      <name val="Arial Unicode MS"/>
      <family val="0"/>
    </font>
    <font>
      <sz val="11"/>
      <name val="Times New Roman"/>
      <family val="1"/>
    </font>
    <font>
      <sz val="10"/>
      <color indexed="52"/>
      <name val="Arial"/>
      <family val="0"/>
    </font>
    <font>
      <b/>
      <vertAlign val="superscript"/>
      <sz val="10"/>
      <name val="Arial"/>
      <family val="2"/>
    </font>
    <font>
      <b/>
      <sz val="10"/>
      <color indexed="52"/>
      <name val="Arial"/>
      <family val="0"/>
    </font>
    <font>
      <b/>
      <sz val="10"/>
      <color indexed="17"/>
      <name val="Arial"/>
      <family val="2"/>
    </font>
    <font>
      <sz val="10"/>
      <color indexed="43"/>
      <name val="Arial"/>
      <family val="0"/>
    </font>
    <font>
      <sz val="10"/>
      <color indexed="17"/>
      <name val="Arial"/>
      <family val="0"/>
    </font>
    <font>
      <b/>
      <u val="single"/>
      <sz val="14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Georgia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89">
    <xf numFmtId="0" fontId="0" fillId="0" borderId="0" xfId="0" applyAlignment="1">
      <alignment/>
    </xf>
    <xf numFmtId="0" fontId="0" fillId="11" borderId="1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11" borderId="12" xfId="0" applyFont="1" applyFill="1" applyBorder="1" applyAlignment="1">
      <alignment/>
    </xf>
    <xf numFmtId="0" fontId="0" fillId="11" borderId="13" xfId="0" applyFont="1" applyFill="1" applyBorder="1" applyAlignment="1">
      <alignment/>
    </xf>
    <xf numFmtId="0" fontId="0" fillId="11" borderId="14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22" borderId="13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1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1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12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14" xfId="0" applyFill="1" applyBorder="1" applyAlignment="1">
      <alignment/>
    </xf>
    <xf numFmtId="0" fontId="0" fillId="26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22" borderId="0" xfId="0" applyFont="1" applyFill="1" applyBorder="1" applyAlignment="1">
      <alignment horizontal="left"/>
    </xf>
    <xf numFmtId="0" fontId="0" fillId="22" borderId="15" xfId="0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26" borderId="16" xfId="0" applyFill="1" applyBorder="1" applyAlignment="1">
      <alignment/>
    </xf>
    <xf numFmtId="0" fontId="0" fillId="26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26" borderId="0" xfId="0" applyFill="1" applyBorder="1" applyAlignment="1" quotePrefix="1">
      <alignment/>
    </xf>
    <xf numFmtId="0" fontId="5" fillId="26" borderId="0" xfId="0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0" borderId="0" xfId="0" applyFill="1" applyBorder="1" applyAlignment="1">
      <alignment/>
    </xf>
    <xf numFmtId="0" fontId="5" fillId="22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0" fillId="26" borderId="14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6" fillId="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3" borderId="11" xfId="0" applyFill="1" applyBorder="1" applyAlignment="1">
      <alignment/>
    </xf>
    <xf numFmtId="3" fontId="5" fillId="3" borderId="0" xfId="0" applyNumberFormat="1" applyFont="1" applyFill="1" applyBorder="1" applyAlignment="1">
      <alignment horizontal="left"/>
    </xf>
    <xf numFmtId="0" fontId="1" fillId="25" borderId="0" xfId="0" applyFont="1" applyFill="1" applyBorder="1" applyAlignment="1">
      <alignment/>
    </xf>
    <xf numFmtId="11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/>
    </xf>
    <xf numFmtId="2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82" fontId="0" fillId="7" borderId="0" xfId="0" applyNumberFormat="1" applyFill="1" applyBorder="1" applyAlignment="1">
      <alignment horizontal="center"/>
    </xf>
    <xf numFmtId="182" fontId="0" fillId="7" borderId="0" xfId="0" applyNumberFormat="1" applyFont="1" applyFill="1" applyBorder="1" applyAlignment="1">
      <alignment horizontal="center"/>
    </xf>
    <xf numFmtId="182" fontId="0" fillId="7" borderId="0" xfId="0" applyNumberFormat="1" applyFont="1" applyFill="1" applyBorder="1" applyAlignment="1">
      <alignment/>
    </xf>
    <xf numFmtId="0" fontId="5" fillId="7" borderId="13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2" xfId="0" applyFont="1" applyFill="1" applyBorder="1" applyAlignment="1">
      <alignment/>
    </xf>
    <xf numFmtId="0" fontId="0" fillId="22" borderId="14" xfId="0" applyFill="1" applyBorder="1" applyAlignment="1">
      <alignment/>
    </xf>
    <xf numFmtId="0" fontId="0" fillId="7" borderId="20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1" fillId="7" borderId="0" xfId="0" applyFont="1" applyFill="1" applyBorder="1" applyAlignment="1">
      <alignment/>
    </xf>
    <xf numFmtId="183" fontId="5" fillId="11" borderId="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11" fontId="1" fillId="0" borderId="21" xfId="0" applyNumberFormat="1" applyFont="1" applyFill="1" applyBorder="1" applyAlignment="1">
      <alignment horizontal="center"/>
    </xf>
    <xf numFmtId="11" fontId="1" fillId="0" borderId="1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1" fontId="1" fillId="0" borderId="18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>
      <alignment/>
    </xf>
    <xf numFmtId="0" fontId="4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/>
    </xf>
    <xf numFmtId="0" fontId="0" fillId="4" borderId="16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1" fillId="11" borderId="0" xfId="0" applyFont="1" applyFill="1" applyBorder="1" applyAlignment="1">
      <alignment horizontal="center"/>
    </xf>
    <xf numFmtId="0" fontId="0" fillId="26" borderId="11" xfId="0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2" fontId="5" fillId="26" borderId="0" xfId="0" applyNumberFormat="1" applyFont="1" applyFill="1" applyBorder="1" applyAlignment="1">
      <alignment horizontal="center"/>
    </xf>
    <xf numFmtId="0" fontId="0" fillId="26" borderId="11" xfId="0" applyFill="1" applyBorder="1" applyAlignment="1" quotePrefix="1">
      <alignment/>
    </xf>
    <xf numFmtId="0" fontId="0" fillId="26" borderId="11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2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1" fillId="7" borderId="10" xfId="0" applyFont="1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/>
    </xf>
    <xf numFmtId="0" fontId="11" fillId="7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0" fontId="0" fillId="4" borderId="10" xfId="0" applyFont="1" applyFill="1" applyBorder="1" applyAlignment="1">
      <alignment horizontal="right"/>
    </xf>
    <xf numFmtId="0" fontId="0" fillId="25" borderId="0" xfId="0" applyFill="1" applyBorder="1" applyAlignment="1">
      <alignment horizontal="right"/>
    </xf>
    <xf numFmtId="0" fontId="0" fillId="25" borderId="0" xfId="0" applyFill="1" applyAlignment="1">
      <alignment horizontal="right"/>
    </xf>
    <xf numFmtId="0" fontId="0" fillId="25" borderId="10" xfId="0" applyFill="1" applyBorder="1" applyAlignment="1">
      <alignment horizontal="right"/>
    </xf>
    <xf numFmtId="0" fontId="0" fillId="26" borderId="0" xfId="0" applyFill="1" applyBorder="1" applyAlignment="1">
      <alignment horizontal="right"/>
    </xf>
    <xf numFmtId="0" fontId="5" fillId="26" borderId="0" xfId="0" applyFont="1" applyFill="1" applyBorder="1" applyAlignment="1" quotePrefix="1">
      <alignment horizontal="center"/>
    </xf>
    <xf numFmtId="0" fontId="1" fillId="26" borderId="0" xfId="0" applyFont="1" applyFill="1" applyBorder="1" applyAlignment="1">
      <alignment horizontal="center"/>
    </xf>
    <xf numFmtId="0" fontId="0" fillId="26" borderId="20" xfId="0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5" xfId="0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0" fillId="4" borderId="20" xfId="0" applyFont="1" applyFill="1" applyBorder="1" applyAlignment="1">
      <alignment/>
    </xf>
    <xf numFmtId="0" fontId="0" fillId="7" borderId="20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3" fillId="0" borderId="0" xfId="0" applyFont="1" applyBorder="1" applyAlignment="1">
      <alignment horizontal="right" wrapText="1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7" borderId="1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1" fontId="1" fillId="0" borderId="0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0" fontId="0" fillId="25" borderId="0" xfId="0" applyFont="1" applyFill="1" applyBorder="1" applyAlignment="1">
      <alignment horizontal="right"/>
    </xf>
    <xf numFmtId="0" fontId="0" fillId="25" borderId="10" xfId="0" applyFont="1" applyFill="1" applyBorder="1" applyAlignment="1">
      <alignment horizontal="right"/>
    </xf>
    <xf numFmtId="0" fontId="0" fillId="15" borderId="0" xfId="0" applyFill="1" applyAlignment="1">
      <alignment/>
    </xf>
    <xf numFmtId="0" fontId="0" fillId="15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0" xfId="0" applyFill="1" applyBorder="1" applyAlignment="1">
      <alignment/>
    </xf>
    <xf numFmtId="0" fontId="0" fillId="15" borderId="11" xfId="0" applyFill="1" applyBorder="1" applyAlignment="1">
      <alignment/>
    </xf>
    <xf numFmtId="0" fontId="14" fillId="15" borderId="11" xfId="0" applyFont="1" applyFill="1" applyBorder="1" applyAlignment="1">
      <alignment/>
    </xf>
    <xf numFmtId="0" fontId="0" fillId="15" borderId="12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14" xfId="0" applyFill="1" applyBorder="1" applyAlignment="1">
      <alignment/>
    </xf>
    <xf numFmtId="0" fontId="1" fillId="15" borderId="10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0" fillId="15" borderId="20" xfId="0" applyFill="1" applyBorder="1" applyAlignment="1">
      <alignment/>
    </xf>
    <xf numFmtId="0" fontId="0" fillId="15" borderId="16" xfId="0" applyFill="1" applyBorder="1" applyAlignment="1">
      <alignment/>
    </xf>
    <xf numFmtId="0" fontId="1" fillId="15" borderId="15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83" fontId="14" fillId="15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/>
    </xf>
    <xf numFmtId="0" fontId="1" fillId="1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/>
    </xf>
    <xf numFmtId="0" fontId="0" fillId="15" borderId="13" xfId="0" applyFont="1" applyFill="1" applyBorder="1" applyAlignment="1">
      <alignment/>
    </xf>
    <xf numFmtId="0" fontId="1" fillId="0" borderId="0" xfId="0" applyFont="1" applyFill="1" applyBorder="1" applyAlignment="1">
      <alignment vertical="justify"/>
    </xf>
    <xf numFmtId="0" fontId="0" fillId="22" borderId="11" xfId="0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22" borderId="10" xfId="0" applyFill="1" applyBorder="1" applyAlignment="1">
      <alignment horizontal="right" vertical="center"/>
    </xf>
    <xf numFmtId="0" fontId="0" fillId="22" borderId="0" xfId="0" applyFill="1" applyBorder="1" applyAlignment="1">
      <alignment horizontal="right" vertical="center"/>
    </xf>
    <xf numFmtId="2" fontId="5" fillId="22" borderId="0" xfId="0" applyNumberFormat="1" applyFont="1" applyFill="1" applyBorder="1" applyAlignment="1">
      <alignment horizontal="center"/>
    </xf>
    <xf numFmtId="183" fontId="5" fillId="22" borderId="0" xfId="0" applyNumberFormat="1" applyFont="1" applyFill="1" applyBorder="1" applyAlignment="1">
      <alignment horizontal="center"/>
    </xf>
    <xf numFmtId="179" fontId="5" fillId="22" borderId="0" xfId="0" applyNumberFormat="1" applyFont="1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26" borderId="0" xfId="0" applyFill="1" applyBorder="1" applyAlignment="1">
      <alignment/>
    </xf>
    <xf numFmtId="0" fontId="0" fillId="0" borderId="0" xfId="0" applyFont="1" applyFill="1" applyBorder="1" applyAlignment="1">
      <alignment vertical="justify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79" fontId="5" fillId="4" borderId="0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0" fontId="0" fillId="11" borderId="10" xfId="0" applyFont="1" applyFill="1" applyBorder="1" applyAlignment="1" quotePrefix="1">
      <alignment/>
    </xf>
    <xf numFmtId="0" fontId="0" fillId="4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3" fontId="14" fillId="15" borderId="0" xfId="0" applyNumberFormat="1" applyFont="1" applyFill="1" applyBorder="1" applyAlignment="1">
      <alignment horizontal="center"/>
    </xf>
    <xf numFmtId="0" fontId="14" fillId="15" borderId="10" xfId="0" applyFont="1" applyFill="1" applyBorder="1" applyAlignment="1">
      <alignment/>
    </xf>
    <xf numFmtId="0" fontId="14" fillId="15" borderId="11" xfId="0" applyFont="1" applyFill="1" applyBorder="1" applyAlignment="1">
      <alignment horizontal="center"/>
    </xf>
    <xf numFmtId="0" fontId="14" fillId="15" borderId="0" xfId="0" applyFont="1" applyFill="1" applyBorder="1" applyAlignment="1">
      <alignment horizontal="center"/>
    </xf>
    <xf numFmtId="0" fontId="14" fillId="15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3" fontId="0" fillId="15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4" borderId="15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0" borderId="0" xfId="0" applyBorder="1" applyAlignment="1">
      <alignment/>
    </xf>
    <xf numFmtId="0" fontId="0" fillId="15" borderId="10" xfId="0" applyFont="1" applyFill="1" applyBorder="1" applyAlignment="1">
      <alignment horizontal="center"/>
    </xf>
    <xf numFmtId="0" fontId="0" fillId="15" borderId="12" xfId="0" applyFont="1" applyFill="1" applyBorder="1" applyAlignment="1">
      <alignment/>
    </xf>
    <xf numFmtId="0" fontId="14" fillId="15" borderId="10" xfId="0" applyFont="1" applyFill="1" applyBorder="1" applyAlignment="1">
      <alignment horizontal="center"/>
    </xf>
    <xf numFmtId="183" fontId="14" fillId="15" borderId="11" xfId="0" applyNumberFormat="1" applyFont="1" applyFill="1" applyBorder="1" applyAlignment="1">
      <alignment horizontal="center"/>
    </xf>
    <xf numFmtId="0" fontId="0" fillId="25" borderId="0" xfId="0" applyFill="1" applyAlignment="1">
      <alignment horizontal="left"/>
    </xf>
    <xf numFmtId="0" fontId="0" fillId="25" borderId="0" xfId="0" applyFill="1" applyBorder="1" applyAlignment="1">
      <alignment horizontal="left"/>
    </xf>
    <xf numFmtId="0" fontId="0" fillId="25" borderId="12" xfId="0" applyFill="1" applyBorder="1" applyAlignment="1">
      <alignment horizontal="right"/>
    </xf>
    <xf numFmtId="0" fontId="0" fillId="22" borderId="0" xfId="0" applyFill="1" applyAlignment="1">
      <alignment/>
    </xf>
    <xf numFmtId="0" fontId="0" fillId="22" borderId="11" xfId="0" applyFont="1" applyFill="1" applyBorder="1" applyAlignment="1">
      <alignment horizontal="left"/>
    </xf>
    <xf numFmtId="0" fontId="0" fillId="22" borderId="14" xfId="0" applyFont="1" applyFill="1" applyBorder="1" applyAlignment="1">
      <alignment/>
    </xf>
    <xf numFmtId="0" fontId="0" fillId="26" borderId="11" xfId="0" applyFill="1" applyBorder="1" applyAlignment="1">
      <alignment horizontal="left" vertical="center"/>
    </xf>
    <xf numFmtId="0" fontId="0" fillId="26" borderId="11" xfId="0" applyFill="1" applyBorder="1" applyAlignment="1">
      <alignment vertical="center"/>
    </xf>
    <xf numFmtId="0" fontId="0" fillId="3" borderId="11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0" fillId="25" borderId="11" xfId="0" applyFill="1" applyBorder="1" applyAlignment="1">
      <alignment horizontal="left"/>
    </xf>
    <xf numFmtId="0" fontId="0" fillId="25" borderId="11" xfId="0" applyFont="1" applyFill="1" applyBorder="1" applyAlignment="1">
      <alignment horizontal="left"/>
    </xf>
    <xf numFmtId="183" fontId="14" fillId="15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 horizontal="left"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horizontal="left"/>
    </xf>
    <xf numFmtId="0" fontId="14" fillId="15" borderId="11" xfId="0" applyFont="1" applyFill="1" applyBorder="1" applyAlignment="1">
      <alignment horizontal="right"/>
    </xf>
    <xf numFmtId="0" fontId="14" fillId="15" borderId="11" xfId="0" applyFont="1" applyFill="1" applyBorder="1" applyAlignment="1">
      <alignment/>
    </xf>
    <xf numFmtId="0" fontId="14" fillId="15" borderId="0" xfId="0" applyFont="1" applyFill="1" applyAlignment="1">
      <alignment/>
    </xf>
    <xf numFmtId="0" fontId="0" fillId="22" borderId="10" xfId="0" applyFont="1" applyFill="1" applyBorder="1" applyAlignment="1">
      <alignment horizontal="right"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0" fillId="26" borderId="10" xfId="0" applyFill="1" applyBorder="1" applyAlignment="1">
      <alignment horizontal="right"/>
    </xf>
    <xf numFmtId="0" fontId="17" fillId="0" borderId="18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3" borderId="10" xfId="0" applyFont="1" applyFill="1" applyBorder="1" applyAlignment="1">
      <alignment horizontal="right"/>
    </xf>
    <xf numFmtId="0" fontId="0" fillId="26" borderId="10" xfId="0" applyFont="1" applyFill="1" applyBorder="1" applyAlignment="1">
      <alignment horizontal="right"/>
    </xf>
    <xf numFmtId="0" fontId="0" fillId="26" borderId="0" xfId="0" applyFont="1" applyFill="1" applyBorder="1" applyAlignment="1">
      <alignment horizontal="right"/>
    </xf>
    <xf numFmtId="0" fontId="0" fillId="22" borderId="0" xfId="0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0" fillId="22" borderId="11" xfId="0" applyFill="1" applyBorder="1" applyAlignment="1">
      <alignment horizontal="left"/>
    </xf>
    <xf numFmtId="0" fontId="0" fillId="3" borderId="0" xfId="0" applyFont="1" applyFill="1" applyBorder="1" applyAlignment="1">
      <alignment horizontal="right"/>
    </xf>
    <xf numFmtId="0" fontId="6" fillId="7" borderId="0" xfId="0" applyFont="1" applyFill="1" applyBorder="1" applyAlignment="1">
      <alignment horizontal="center"/>
    </xf>
    <xf numFmtId="0" fontId="0" fillId="22" borderId="13" xfId="0" applyFill="1" applyBorder="1" applyAlignment="1">
      <alignment horizontal="right"/>
    </xf>
    <xf numFmtId="2" fontId="5" fillId="22" borderId="13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4" fillId="22" borderId="11" xfId="0" applyFont="1" applyFill="1" applyBorder="1" applyAlignment="1">
      <alignment horizontal="center"/>
    </xf>
    <xf numFmtId="0" fontId="0" fillId="25" borderId="11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0" fontId="6" fillId="7" borderId="0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right"/>
    </xf>
    <xf numFmtId="0" fontId="0" fillId="7" borderId="11" xfId="0" applyFill="1" applyBorder="1" applyAlignment="1">
      <alignment horizontal="left"/>
    </xf>
    <xf numFmtId="0" fontId="0" fillId="7" borderId="11" xfId="0" applyFont="1" applyFill="1" applyBorder="1" applyAlignment="1">
      <alignment horizontal="left"/>
    </xf>
    <xf numFmtId="0" fontId="0" fillId="7" borderId="14" xfId="0" applyFont="1" applyFill="1" applyBorder="1" applyAlignment="1">
      <alignment horizontal="left"/>
    </xf>
    <xf numFmtId="0" fontId="5" fillId="7" borderId="15" xfId="0" applyFont="1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1" fillId="3" borderId="11" xfId="0" applyFont="1" applyFill="1" applyBorder="1" applyAlignment="1">
      <alignment/>
    </xf>
    <xf numFmtId="0" fontId="0" fillId="4" borderId="10" xfId="0" applyFill="1" applyBorder="1" applyAlignment="1">
      <alignment/>
    </xf>
    <xf numFmtId="0" fontId="2" fillId="26" borderId="11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  <xf numFmtId="0" fontId="0" fillId="25" borderId="10" xfId="0" applyFill="1" applyBorder="1" applyAlignment="1">
      <alignment/>
    </xf>
    <xf numFmtId="0" fontId="2" fillId="25" borderId="11" xfId="0" applyFont="1" applyFill="1" applyBorder="1" applyAlignment="1">
      <alignment/>
    </xf>
    <xf numFmtId="0" fontId="0" fillId="25" borderId="15" xfId="0" applyFill="1" applyBorder="1" applyAlignment="1">
      <alignment/>
    </xf>
    <xf numFmtId="0" fontId="0" fillId="22" borderId="10" xfId="0" applyFill="1" applyBorder="1" applyAlignment="1">
      <alignment horizontal="right"/>
    </xf>
    <xf numFmtId="0" fontId="0" fillId="3" borderId="10" xfId="0" applyFont="1" applyFill="1" applyBorder="1" applyAlignment="1">
      <alignment horizontal="left"/>
    </xf>
    <xf numFmtId="0" fontId="0" fillId="3" borderId="13" xfId="0" applyFont="1" applyFill="1" applyBorder="1" applyAlignment="1" quotePrefix="1">
      <alignment horizontal="right"/>
    </xf>
    <xf numFmtId="0" fontId="0" fillId="3" borderId="10" xfId="0" applyFont="1" applyFill="1" applyBorder="1" applyAlignment="1" quotePrefix="1">
      <alignment horizontal="right"/>
    </xf>
    <xf numFmtId="0" fontId="0" fillId="22" borderId="0" xfId="0" applyFont="1" applyFill="1" applyBorder="1" applyAlignment="1">
      <alignment horizontal="right"/>
    </xf>
    <xf numFmtId="0" fontId="1" fillId="22" borderId="0" xfId="0" applyFont="1" applyFill="1" applyBorder="1" applyAlignment="1">
      <alignment horizontal="right"/>
    </xf>
    <xf numFmtId="0" fontId="0" fillId="11" borderId="0" xfId="0" applyFont="1" applyFill="1" applyBorder="1" applyAlignment="1">
      <alignment horizontal="right"/>
    </xf>
    <xf numFmtId="0" fontId="0" fillId="11" borderId="10" xfId="0" applyFont="1" applyFill="1" applyBorder="1" applyAlignment="1">
      <alignment horizontal="right"/>
    </xf>
    <xf numFmtId="0" fontId="0" fillId="11" borderId="11" xfId="0" applyFont="1" applyFill="1" applyBorder="1" applyAlignment="1">
      <alignment horizontal="left"/>
    </xf>
    <xf numFmtId="0" fontId="0" fillId="11" borderId="0" xfId="0" applyFont="1" applyFill="1" applyBorder="1" applyAlignment="1">
      <alignment horizontal="left"/>
    </xf>
    <xf numFmtId="0" fontId="0" fillId="11" borderId="21" xfId="0" applyFont="1" applyFill="1" applyBorder="1" applyAlignment="1">
      <alignment horizontal="right"/>
    </xf>
    <xf numFmtId="0" fontId="6" fillId="7" borderId="11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0" fillId="22" borderId="0" xfId="0" applyFill="1" applyBorder="1" applyAlignment="1">
      <alignment/>
    </xf>
    <xf numFmtId="0" fontId="4" fillId="22" borderId="0" xfId="0" applyFont="1" applyFill="1" applyBorder="1" applyAlignment="1">
      <alignment/>
    </xf>
    <xf numFmtId="0" fontId="0" fillId="25" borderId="0" xfId="0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0" fillId="4" borderId="10" xfId="0" applyFont="1" applyFill="1" applyBorder="1" applyAlignment="1" quotePrefix="1">
      <alignment horizontal="right"/>
    </xf>
    <xf numFmtId="0" fontId="1" fillId="25" borderId="0" xfId="0" applyFont="1" applyFill="1" applyBorder="1" applyAlignment="1">
      <alignment/>
    </xf>
    <xf numFmtId="0" fontId="0" fillId="25" borderId="11" xfId="0" applyFill="1" applyBorder="1" applyAlignment="1" quotePrefix="1">
      <alignment/>
    </xf>
    <xf numFmtId="0" fontId="0" fillId="3" borderId="10" xfId="0" applyFill="1" applyBorder="1" applyAlignment="1">
      <alignment horizontal="right"/>
    </xf>
    <xf numFmtId="0" fontId="5" fillId="3" borderId="0" xfId="0" applyFont="1" applyFill="1" applyBorder="1" applyAlignment="1" quotePrefix="1">
      <alignment horizontal="center"/>
    </xf>
    <xf numFmtId="12" fontId="5" fillId="25" borderId="0" xfId="0" applyNumberFormat="1" applyFont="1" applyFill="1" applyBorder="1" applyAlignment="1">
      <alignment horizontal="center"/>
    </xf>
    <xf numFmtId="13" fontId="5" fillId="25" borderId="0" xfId="0" applyNumberFormat="1" applyFont="1" applyFill="1" applyBorder="1" applyAlignment="1">
      <alignment horizontal="center"/>
    </xf>
    <xf numFmtId="184" fontId="5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0" fillId="25" borderId="13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81" fontId="0" fillId="7" borderId="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7" borderId="16" xfId="0" applyFont="1" applyFill="1" applyBorder="1" applyAlignment="1">
      <alignment horizontal="left"/>
    </xf>
    <xf numFmtId="0" fontId="6" fillId="7" borderId="11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11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left"/>
    </xf>
    <xf numFmtId="183" fontId="5" fillId="15" borderId="0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3" fontId="5" fillId="22" borderId="0" xfId="0" applyNumberFormat="1" applyFont="1" applyFill="1" applyBorder="1" applyAlignment="1">
      <alignment horizontal="center"/>
    </xf>
    <xf numFmtId="191" fontId="5" fillId="22" borderId="0" xfId="0" applyNumberFormat="1" applyFont="1" applyFill="1" applyBorder="1" applyAlignment="1">
      <alignment horizontal="center"/>
    </xf>
    <xf numFmtId="0" fontId="18" fillId="22" borderId="10" xfId="0" applyFont="1" applyFill="1" applyBorder="1" applyAlignment="1">
      <alignment horizontal="right"/>
    </xf>
    <xf numFmtId="0" fontId="18" fillId="22" borderId="0" xfId="0" applyFont="1" applyFill="1" applyBorder="1" applyAlignment="1">
      <alignment/>
    </xf>
    <xf numFmtId="0" fontId="18" fillId="22" borderId="11" xfId="0" applyFont="1" applyFill="1" applyBorder="1" applyAlignment="1">
      <alignment/>
    </xf>
    <xf numFmtId="3" fontId="19" fillId="0" borderId="17" xfId="0" applyNumberFormat="1" applyFont="1" applyFill="1" applyBorder="1" applyAlignment="1">
      <alignment horizontal="center"/>
    </xf>
    <xf numFmtId="191" fontId="0" fillId="0" borderId="17" xfId="0" applyNumberFormat="1" applyFill="1" applyBorder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0" borderId="22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0" xfId="0" applyFill="1" applyBorder="1" applyAlignment="1">
      <alignment/>
    </xf>
    <xf numFmtId="11" fontId="0" fillId="26" borderId="0" xfId="0" applyNumberFormat="1" applyFon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left"/>
    </xf>
    <xf numFmtId="182" fontId="0" fillId="25" borderId="11" xfId="0" applyNumberFormat="1" applyFill="1" applyBorder="1" applyAlignment="1">
      <alignment horizontal="center"/>
    </xf>
    <xf numFmtId="182" fontId="0" fillId="25" borderId="11" xfId="0" applyNumberFormat="1" applyFill="1" applyBorder="1" applyAlignment="1">
      <alignment horizontal="left"/>
    </xf>
    <xf numFmtId="0" fontId="0" fillId="25" borderId="10" xfId="0" applyFill="1" applyBorder="1" applyAlignment="1">
      <alignment horizontal="left"/>
    </xf>
    <xf numFmtId="182" fontId="0" fillId="25" borderId="11" xfId="0" applyNumberFormat="1" applyFont="1" applyFill="1" applyBorder="1" applyAlignment="1">
      <alignment horizontal="left"/>
    </xf>
    <xf numFmtId="182" fontId="0" fillId="25" borderId="11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4" fillId="22" borderId="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1" fillId="22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26" borderId="12" xfId="0" applyFill="1" applyBorder="1" applyAlignment="1">
      <alignment/>
    </xf>
    <xf numFmtId="0" fontId="5" fillId="26" borderId="0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5" fillId="22" borderId="0" xfId="0" applyFont="1" applyFill="1" applyBorder="1" applyAlignment="1">
      <alignment horizontal="right"/>
    </xf>
    <xf numFmtId="0" fontId="0" fillId="22" borderId="10" xfId="0" applyFill="1" applyBorder="1" applyAlignment="1">
      <alignment/>
    </xf>
    <xf numFmtId="0" fontId="0" fillId="0" borderId="0" xfId="0" applyAlignment="1">
      <alignment horizontal="right"/>
    </xf>
    <xf numFmtId="0" fontId="0" fillId="24" borderId="11" xfId="0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3" fontId="5" fillId="22" borderId="0" xfId="0" applyNumberFormat="1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14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right"/>
    </xf>
    <xf numFmtId="0" fontId="14" fillId="4" borderId="11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1" fillId="26" borderId="10" xfId="0" applyFont="1" applyFill="1" applyBorder="1" applyAlignment="1">
      <alignment horizontal="right"/>
    </xf>
    <xf numFmtId="0" fontId="1" fillId="26" borderId="11" xfId="0" applyFont="1" applyFill="1" applyBorder="1" applyAlignment="1">
      <alignment/>
    </xf>
    <xf numFmtId="0" fontId="1" fillId="26" borderId="12" xfId="0" applyFont="1" applyFill="1" applyBorder="1" applyAlignment="1">
      <alignment/>
    </xf>
    <xf numFmtId="0" fontId="1" fillId="26" borderId="13" xfId="0" applyFont="1" applyFill="1" applyBorder="1" applyAlignment="1">
      <alignment/>
    </xf>
    <xf numFmtId="0" fontId="1" fillId="26" borderId="14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1" fillId="26" borderId="15" xfId="0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10" xfId="0" applyFill="1" applyBorder="1" applyAlignment="1">
      <alignment horizontal="right"/>
    </xf>
    <xf numFmtId="0" fontId="5" fillId="26" borderId="0" xfId="0" applyFont="1" applyFill="1" applyBorder="1" applyAlignment="1">
      <alignment/>
    </xf>
    <xf numFmtId="0" fontId="8" fillId="0" borderId="0" xfId="53" applyAlignment="1" applyProtection="1">
      <alignment/>
      <protection/>
    </xf>
    <xf numFmtId="0" fontId="0" fillId="0" borderId="0" xfId="0" applyAlignment="1">
      <alignment horizontal="center"/>
    </xf>
    <xf numFmtId="0" fontId="8" fillId="0" borderId="0" xfId="53" applyFont="1" applyAlignment="1" applyProtection="1">
      <alignment/>
      <protection/>
    </xf>
    <xf numFmtId="0" fontId="0" fillId="15" borderId="0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0" xfId="0" applyFont="1" applyFill="1" applyBorder="1" applyAlignment="1">
      <alignment/>
    </xf>
    <xf numFmtId="0" fontId="5" fillId="15" borderId="0" xfId="0" applyFont="1" applyFill="1" applyBorder="1" applyAlignment="1">
      <alignment horizontal="center"/>
    </xf>
    <xf numFmtId="2" fontId="5" fillId="15" borderId="0" xfId="0" applyNumberFormat="1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ont="1" applyFill="1" applyBorder="1" applyAlignment="1">
      <alignment/>
    </xf>
    <xf numFmtId="0" fontId="1" fillId="10" borderId="11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5" fillId="10" borderId="0" xfId="0" applyFont="1" applyFill="1" applyBorder="1" applyAlignment="1">
      <alignment/>
    </xf>
    <xf numFmtId="0" fontId="0" fillId="10" borderId="11" xfId="0" applyFont="1" applyFill="1" applyBorder="1" applyAlignment="1">
      <alignment horizontal="left"/>
    </xf>
    <xf numFmtId="0" fontId="14" fillId="10" borderId="1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1" fillId="10" borderId="11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right"/>
    </xf>
    <xf numFmtId="0" fontId="1" fillId="27" borderId="18" xfId="0" applyFont="1" applyFill="1" applyBorder="1" applyAlignment="1">
      <alignment horizontal="center"/>
    </xf>
    <xf numFmtId="0" fontId="1" fillId="27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8" borderId="10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0" xfId="0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0" fillId="8" borderId="0" xfId="0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0" xfId="0" applyFill="1" applyBorder="1" applyAlignment="1">
      <alignment horizontal="center" vertical="justify"/>
    </xf>
    <xf numFmtId="0" fontId="0" fillId="8" borderId="11" xfId="0" applyFont="1" applyFill="1" applyBorder="1" applyAlignment="1">
      <alignment horizontal="left"/>
    </xf>
    <xf numFmtId="0" fontId="4" fillId="8" borderId="0" xfId="0" applyFont="1" applyFill="1" applyBorder="1" applyAlignment="1">
      <alignment/>
    </xf>
    <xf numFmtId="0" fontId="0" fillId="8" borderId="10" xfId="0" applyFill="1" applyBorder="1" applyAlignment="1">
      <alignment/>
    </xf>
    <xf numFmtId="0" fontId="5" fillId="8" borderId="0" xfId="0" applyFont="1" applyFill="1" applyBorder="1" applyAlignment="1">
      <alignment/>
    </xf>
    <xf numFmtId="0" fontId="8" fillId="0" borderId="0" xfId="53" applyAlignment="1">
      <alignment/>
    </xf>
    <xf numFmtId="0" fontId="0" fillId="4" borderId="10" xfId="0" applyFill="1" applyBorder="1" applyAlignment="1">
      <alignment horizontal="center" vertical="justify"/>
    </xf>
    <xf numFmtId="0" fontId="0" fillId="4" borderId="0" xfId="0" applyFill="1" applyBorder="1" applyAlignment="1">
      <alignment horizontal="center" vertical="justify"/>
    </xf>
    <xf numFmtId="0" fontId="14" fillId="4" borderId="10" xfId="0" applyFont="1" applyFill="1" applyBorder="1" applyAlignment="1">
      <alignment/>
    </xf>
    <xf numFmtId="0" fontId="14" fillId="4" borderId="12" xfId="0" applyFont="1" applyFill="1" applyBorder="1" applyAlignment="1">
      <alignment/>
    </xf>
    <xf numFmtId="0" fontId="0" fillId="22" borderId="13" xfId="0" applyFill="1" applyBorder="1" applyAlignment="1">
      <alignment horizontal="right" vertical="center"/>
    </xf>
    <xf numFmtId="0" fontId="1" fillId="8" borderId="0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22" borderId="0" xfId="0" applyFont="1" applyFill="1" applyBorder="1" applyAlignment="1">
      <alignment horizontal="center"/>
    </xf>
    <xf numFmtId="0" fontId="5" fillId="22" borderId="0" xfId="0" applyFont="1" applyFill="1" applyBorder="1" applyAlignment="1">
      <alignment/>
    </xf>
    <xf numFmtId="0" fontId="5" fillId="22" borderId="0" xfId="0" applyFont="1" applyFill="1" applyBorder="1" applyAlignment="1">
      <alignment horizontal="left"/>
    </xf>
    <xf numFmtId="0" fontId="1" fillId="22" borderId="10" xfId="0" applyFont="1" applyFill="1" applyBorder="1" applyAlignment="1">
      <alignment vertical="justify"/>
    </xf>
    <xf numFmtId="0" fontId="1" fillId="22" borderId="0" xfId="0" applyFont="1" applyFill="1" applyBorder="1" applyAlignment="1">
      <alignment vertical="justify"/>
    </xf>
    <xf numFmtId="0" fontId="1" fillId="22" borderId="11" xfId="0" applyFont="1" applyFill="1" applyBorder="1" applyAlignment="1">
      <alignment vertical="justify"/>
    </xf>
    <xf numFmtId="0" fontId="1" fillId="22" borderId="13" xfId="0" applyFont="1" applyFill="1" applyBorder="1" applyAlignment="1">
      <alignment/>
    </xf>
    <xf numFmtId="0" fontId="1" fillId="22" borderId="14" xfId="0" applyFont="1" applyFill="1" applyBorder="1" applyAlignment="1">
      <alignment/>
    </xf>
    <xf numFmtId="191" fontId="5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4" fillId="22" borderId="0" xfId="0" applyFont="1" applyFill="1" applyBorder="1" applyAlignment="1">
      <alignment horizontal="center"/>
    </xf>
    <xf numFmtId="179" fontId="5" fillId="22" borderId="10" xfId="0" applyNumberFormat="1" applyFont="1" applyFill="1" applyBorder="1" applyAlignment="1">
      <alignment horizontal="center"/>
    </xf>
    <xf numFmtId="179" fontId="1" fillId="0" borderId="21" xfId="0" applyNumberFormat="1" applyFont="1" applyFill="1" applyBorder="1" applyAlignment="1">
      <alignment horizontal="center"/>
    </xf>
    <xf numFmtId="179" fontId="1" fillId="0" borderId="18" xfId="0" applyNumberFormat="1" applyFont="1" applyFill="1" applyBorder="1" applyAlignment="1">
      <alignment horizontal="center"/>
    </xf>
    <xf numFmtId="182" fontId="5" fillId="3" borderId="0" xfId="0" applyNumberFormat="1" applyFont="1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8" borderId="10" xfId="0" applyFill="1" applyBorder="1" applyAlignment="1">
      <alignment horizontal="right"/>
    </xf>
    <xf numFmtId="0" fontId="0" fillId="28" borderId="0" xfId="0" applyFill="1" applyAlignment="1">
      <alignment horizontal="center"/>
    </xf>
    <xf numFmtId="0" fontId="4" fillId="28" borderId="0" xfId="0" applyFont="1" applyFill="1" applyAlignment="1">
      <alignment horizontal="center"/>
    </xf>
    <xf numFmtId="0" fontId="0" fillId="28" borderId="10" xfId="0" applyFont="1" applyFill="1" applyBorder="1" applyAlignment="1">
      <alignment/>
    </xf>
    <xf numFmtId="0" fontId="0" fillId="28" borderId="0" xfId="0" applyFont="1" applyFill="1" applyBorder="1" applyAlignment="1">
      <alignment/>
    </xf>
    <xf numFmtId="0" fontId="5" fillId="28" borderId="0" xfId="0" applyFont="1" applyFill="1" applyBorder="1" applyAlignment="1">
      <alignment horizontal="center"/>
    </xf>
    <xf numFmtId="0" fontId="0" fillId="28" borderId="11" xfId="0" applyFill="1" applyBorder="1" applyAlignment="1">
      <alignment/>
    </xf>
    <xf numFmtId="0" fontId="0" fillId="28" borderId="0" xfId="0" applyFill="1" applyBorder="1" applyAlignment="1">
      <alignment/>
    </xf>
    <xf numFmtId="0" fontId="0" fillId="28" borderId="10" xfId="0" applyFill="1" applyBorder="1" applyAlignment="1">
      <alignment/>
    </xf>
    <xf numFmtId="0" fontId="1" fillId="28" borderId="0" xfId="0" applyFont="1" applyFill="1" applyBorder="1" applyAlignment="1">
      <alignment horizontal="center"/>
    </xf>
    <xf numFmtId="0" fontId="0" fillId="28" borderId="0" xfId="0" applyFont="1" applyFill="1" applyBorder="1" applyAlignment="1">
      <alignment/>
    </xf>
    <xf numFmtId="0" fontId="0" fillId="28" borderId="11" xfId="0" applyFont="1" applyFill="1" applyBorder="1" applyAlignment="1">
      <alignment/>
    </xf>
    <xf numFmtId="0" fontId="0" fillId="28" borderId="10" xfId="0" applyFont="1" applyFill="1" applyBorder="1" applyAlignment="1">
      <alignment horizontal="right"/>
    </xf>
    <xf numFmtId="0" fontId="0" fillId="28" borderId="0" xfId="0" applyFont="1" applyFill="1" applyBorder="1" applyAlignment="1">
      <alignment horizontal="right"/>
    </xf>
    <xf numFmtId="0" fontId="0" fillId="28" borderId="11" xfId="0" applyFont="1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12" xfId="0" applyFill="1" applyBorder="1" applyAlignment="1">
      <alignment/>
    </xf>
    <xf numFmtId="0" fontId="0" fillId="28" borderId="13" xfId="0" applyFill="1" applyBorder="1" applyAlignment="1">
      <alignment/>
    </xf>
    <xf numFmtId="0" fontId="0" fillId="28" borderId="14" xfId="0" applyFill="1" applyBorder="1" applyAlignment="1">
      <alignment/>
    </xf>
    <xf numFmtId="0" fontId="0" fillId="28" borderId="0" xfId="0" applyFill="1" applyBorder="1" applyAlignment="1">
      <alignment horizontal="center"/>
    </xf>
    <xf numFmtId="0" fontId="4" fillId="28" borderId="0" xfId="0" applyFont="1" applyFill="1" applyBorder="1" applyAlignment="1">
      <alignment horizontal="center"/>
    </xf>
    <xf numFmtId="0" fontId="0" fillId="28" borderId="0" xfId="0" applyFont="1" applyFill="1" applyBorder="1" applyAlignment="1">
      <alignment horizontal="center"/>
    </xf>
    <xf numFmtId="0" fontId="4" fillId="28" borderId="11" xfId="0" applyFont="1" applyFill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0" fillId="28" borderId="11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0" xfId="0" applyFill="1" applyAlignment="1">
      <alignment horizontal="right"/>
    </xf>
    <xf numFmtId="183" fontId="0" fillId="0" borderId="0" xfId="0" applyNumberFormat="1" applyAlignment="1">
      <alignment/>
    </xf>
    <xf numFmtId="0" fontId="0" fillId="7" borderId="10" xfId="0" applyFont="1" applyFill="1" applyBorder="1" applyAlignment="1">
      <alignment horizontal="right"/>
    </xf>
    <xf numFmtId="0" fontId="0" fillId="7" borderId="0" xfId="0" applyFont="1" applyFill="1" applyBorder="1" applyAlignment="1">
      <alignment horizontal="right"/>
    </xf>
    <xf numFmtId="0" fontId="1" fillId="22" borderId="10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right"/>
    </xf>
    <xf numFmtId="0" fontId="0" fillId="10" borderId="0" xfId="0" applyFill="1" applyBorder="1" applyAlignment="1">
      <alignment horizontal="right"/>
    </xf>
    <xf numFmtId="0" fontId="5" fillId="10" borderId="0" xfId="0" applyFont="1" applyFill="1" applyBorder="1" applyAlignment="1">
      <alignment horizontal="center"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26" borderId="10" xfId="0" applyFont="1" applyFill="1" applyBorder="1" applyAlignment="1">
      <alignment horizontal="right"/>
    </xf>
    <xf numFmtId="0" fontId="0" fillId="26" borderId="0" xfId="0" applyFill="1" applyBorder="1" applyAlignment="1">
      <alignment horizontal="right"/>
    </xf>
    <xf numFmtId="0" fontId="0" fillId="26" borderId="0" xfId="0" applyFill="1" applyAlignment="1">
      <alignment/>
    </xf>
    <xf numFmtId="0" fontId="0" fillId="26" borderId="0" xfId="0" applyFont="1" applyFill="1" applyBorder="1" applyAlignment="1">
      <alignment horizontal="right"/>
    </xf>
    <xf numFmtId="0" fontId="1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2" fontId="1" fillId="26" borderId="0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3" xfId="0" applyFill="1" applyBorder="1" applyAlignment="1">
      <alignment/>
    </xf>
    <xf numFmtId="0" fontId="0" fillId="26" borderId="13" xfId="0" applyFill="1" applyBorder="1" applyAlignment="1">
      <alignment horizontal="center"/>
    </xf>
    <xf numFmtId="0" fontId="0" fillId="26" borderId="14" xfId="0" applyFill="1" applyBorder="1" applyAlignment="1">
      <alignment/>
    </xf>
    <xf numFmtId="0" fontId="0" fillId="7" borderId="0" xfId="0" applyFont="1" applyFill="1" applyBorder="1" applyAlignment="1">
      <alignment horizontal="left"/>
    </xf>
    <xf numFmtId="0" fontId="1" fillId="11" borderId="11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9" fontId="1" fillId="0" borderId="19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/>
    </xf>
    <xf numFmtId="0" fontId="0" fillId="24" borderId="14" xfId="0" applyFill="1" applyBorder="1" applyAlignment="1">
      <alignment/>
    </xf>
    <xf numFmtId="0" fontId="5" fillId="22" borderId="13" xfId="0" applyFont="1" applyFill="1" applyBorder="1" applyAlignment="1">
      <alignment horizontal="center"/>
    </xf>
    <xf numFmtId="0" fontId="3" fillId="22" borderId="12" xfId="0" applyFont="1" applyFill="1" applyBorder="1" applyAlignment="1">
      <alignment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10" xfId="0" applyFont="1" applyFill="1" applyBorder="1" applyAlignment="1">
      <alignment horizontal="right"/>
    </xf>
    <xf numFmtId="0" fontId="0" fillId="15" borderId="10" xfId="0" applyFill="1" applyBorder="1" applyAlignment="1">
      <alignment horizontal="right"/>
    </xf>
    <xf numFmtId="0" fontId="5" fillId="15" borderId="0" xfId="0" applyFont="1" applyFill="1" applyBorder="1" applyAlignment="1">
      <alignment horizontal="center"/>
    </xf>
    <xf numFmtId="0" fontId="0" fillId="15" borderId="11" xfId="0" applyFont="1" applyFill="1" applyBorder="1" applyAlignment="1">
      <alignment/>
    </xf>
    <xf numFmtId="0" fontId="0" fillId="15" borderId="12" xfId="0" applyFill="1" applyBorder="1" applyAlignment="1">
      <alignment/>
    </xf>
    <xf numFmtId="0" fontId="0" fillId="15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26" borderId="0" xfId="0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/>
    </xf>
    <xf numFmtId="0" fontId="1" fillId="26" borderId="10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1" fillId="26" borderId="11" xfId="0" applyFont="1" applyFill="1" applyBorder="1" applyAlignment="1">
      <alignment/>
    </xf>
    <xf numFmtId="0" fontId="0" fillId="26" borderId="10" xfId="0" applyFill="1" applyBorder="1" applyAlignment="1" quotePrefix="1">
      <alignment horizontal="right"/>
    </xf>
    <xf numFmtId="0" fontId="0" fillId="26" borderId="0" xfId="0" applyFill="1" applyBorder="1" applyAlignment="1" quotePrefix="1">
      <alignment horizontal="center"/>
    </xf>
    <xf numFmtId="0" fontId="0" fillId="26" borderId="0" xfId="0" applyFill="1" applyBorder="1" applyAlignment="1" quotePrefix="1">
      <alignment/>
    </xf>
    <xf numFmtId="0" fontId="0" fillId="26" borderId="11" xfId="0" applyFill="1" applyBorder="1" applyAlignment="1" quotePrefix="1">
      <alignment/>
    </xf>
    <xf numFmtId="0" fontId="0" fillId="26" borderId="11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center"/>
    </xf>
    <xf numFmtId="0" fontId="0" fillId="6" borderId="11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0" xfId="0" applyFont="1" applyFill="1" applyBorder="1" applyAlignment="1">
      <alignment/>
    </xf>
    <xf numFmtId="182" fontId="0" fillId="0" borderId="0" xfId="0" applyNumberFormat="1" applyFill="1" applyBorder="1" applyAlignment="1">
      <alignment horizontal="center"/>
    </xf>
    <xf numFmtId="182" fontId="0" fillId="0" borderId="0" xfId="0" applyNumberFormat="1" applyFill="1" applyBorder="1" applyAlignment="1">
      <alignment horizontal="left"/>
    </xf>
    <xf numFmtId="182" fontId="0" fillId="0" borderId="0" xfId="0" applyNumberFormat="1" applyFont="1" applyFill="1" applyBorder="1" applyAlignment="1">
      <alignment horizontal="left"/>
    </xf>
    <xf numFmtId="182" fontId="0" fillId="0" borderId="0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/>
    </xf>
    <xf numFmtId="2" fontId="5" fillId="24" borderId="0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10" borderId="10" xfId="0" applyNumberFormat="1" applyFill="1" applyBorder="1" applyAlignment="1">
      <alignment/>
    </xf>
    <xf numFmtId="0" fontId="0" fillId="10" borderId="0" xfId="0" applyNumberFormat="1" applyFill="1" applyBorder="1" applyAlignment="1">
      <alignment/>
    </xf>
    <xf numFmtId="0" fontId="0" fillId="10" borderId="11" xfId="0" applyNumberFormat="1" applyFill="1" applyBorder="1" applyAlignment="1">
      <alignment/>
    </xf>
    <xf numFmtId="0" fontId="0" fillId="10" borderId="10" xfId="0" applyNumberFormat="1" applyFont="1" applyFill="1" applyBorder="1" applyAlignment="1">
      <alignment/>
    </xf>
    <xf numFmtId="0" fontId="0" fillId="10" borderId="11" xfId="0" applyNumberFormat="1" applyFon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5" fillId="10" borderId="0" xfId="0" applyNumberFormat="1" applyFont="1" applyFill="1" applyBorder="1" applyAlignment="1">
      <alignment horizontal="center"/>
    </xf>
    <xf numFmtId="0" fontId="0" fillId="10" borderId="12" xfId="0" applyNumberFormat="1" applyFill="1" applyBorder="1" applyAlignment="1">
      <alignment/>
    </xf>
    <xf numFmtId="0" fontId="0" fillId="10" borderId="13" xfId="0" applyNumberFormat="1" applyFill="1" applyBorder="1" applyAlignment="1">
      <alignment/>
    </xf>
    <xf numFmtId="0" fontId="0" fillId="10" borderId="14" xfId="0" applyNumberFormat="1" applyFill="1" applyBorder="1" applyAlignment="1">
      <alignment/>
    </xf>
    <xf numFmtId="4" fontId="5" fillId="4" borderId="0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22" borderId="10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0" fillId="22" borderId="1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22" borderId="0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0" fillId="22" borderId="10" xfId="0" applyFont="1" applyFill="1" applyBorder="1" applyAlignment="1">
      <alignment horizontal="right"/>
    </xf>
    <xf numFmtId="0" fontId="0" fillId="22" borderId="11" xfId="0" applyFont="1" applyFill="1" applyBorder="1" applyAlignment="1">
      <alignment/>
    </xf>
    <xf numFmtId="0" fontId="2" fillId="22" borderId="0" xfId="0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0" fillId="22" borderId="13" xfId="0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26" borderId="20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13" xfId="0" applyFill="1" applyBorder="1" applyAlignment="1">
      <alignment/>
    </xf>
    <xf numFmtId="4" fontId="5" fillId="25" borderId="0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4" fillId="26" borderId="0" xfId="0" applyFont="1" applyFill="1" applyBorder="1" applyAlignment="1">
      <alignment horizontal="left"/>
    </xf>
    <xf numFmtId="0" fontId="1" fillId="25" borderId="0" xfId="0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182" fontId="0" fillId="25" borderId="0" xfId="0" applyNumberFormat="1" applyFill="1" applyBorder="1" applyAlignment="1">
      <alignment horizontal="center"/>
    </xf>
    <xf numFmtId="182" fontId="0" fillId="25" borderId="0" xfId="0" applyNumberFormat="1" applyFill="1" applyBorder="1" applyAlignment="1">
      <alignment horizontal="left"/>
    </xf>
    <xf numFmtId="182" fontId="0" fillId="25" borderId="0" xfId="0" applyNumberFormat="1" applyFont="1" applyFill="1" applyBorder="1" applyAlignment="1">
      <alignment horizontal="left"/>
    </xf>
    <xf numFmtId="182" fontId="0" fillId="25" borderId="0" xfId="0" applyNumberFormat="1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/>
    </xf>
    <xf numFmtId="1" fontId="0" fillId="25" borderId="22" xfId="0" applyNumberFormat="1" applyFont="1" applyFill="1" applyBorder="1" applyAlignment="1">
      <alignment horizontal="center"/>
    </xf>
    <xf numFmtId="2" fontId="5" fillId="25" borderId="0" xfId="0" applyNumberFormat="1" applyFon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194" fontId="1" fillId="0" borderId="21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0" fillId="24" borderId="10" xfId="0" applyFill="1" applyBorder="1" applyAlignment="1">
      <alignment horizontal="right"/>
    </xf>
    <xf numFmtId="0" fontId="0" fillId="24" borderId="1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3" fillId="24" borderId="11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justify"/>
    </xf>
    <xf numFmtId="0" fontId="0" fillId="3" borderId="21" xfId="0" applyFont="1" applyFill="1" applyBorder="1" applyAlignment="1">
      <alignment horizontal="left"/>
    </xf>
    <xf numFmtId="0" fontId="0" fillId="3" borderId="21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14" fillId="4" borderId="1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4" fillId="4" borderId="12" xfId="0" applyFont="1" applyFill="1" applyBorder="1" applyAlignment="1">
      <alignment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 quotePrefix="1">
      <alignment horizontal="right"/>
    </xf>
    <xf numFmtId="0" fontId="4" fillId="24" borderId="0" xfId="0" applyFont="1" applyFill="1" applyBorder="1" applyAlignment="1">
      <alignment horizontal="center"/>
    </xf>
    <xf numFmtId="0" fontId="0" fillId="24" borderId="11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" fillId="22" borderId="0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right"/>
    </xf>
    <xf numFmtId="0" fontId="0" fillId="22" borderId="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justify"/>
    </xf>
    <xf numFmtId="0" fontId="1" fillId="22" borderId="10" xfId="0" applyFont="1" applyFill="1" applyBorder="1" applyAlignment="1">
      <alignment horizontal="center" vertical="justify"/>
    </xf>
    <xf numFmtId="0" fontId="1" fillId="22" borderId="11" xfId="0" applyFont="1" applyFill="1" applyBorder="1" applyAlignment="1">
      <alignment horizontal="center" vertical="justify"/>
    </xf>
    <xf numFmtId="0" fontId="4" fillId="22" borderId="0" xfId="0" applyFont="1" applyFill="1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0" fontId="0" fillId="22" borderId="10" xfId="0" applyFill="1" applyBorder="1" applyAlignment="1">
      <alignment horizontal="right" vertical="center"/>
    </xf>
    <xf numFmtId="0" fontId="0" fillId="22" borderId="0" xfId="0" applyFill="1" applyBorder="1" applyAlignment="1">
      <alignment horizontal="right" vertical="center"/>
    </xf>
    <xf numFmtId="0" fontId="0" fillId="22" borderId="10" xfId="0" applyFill="1" applyBorder="1" applyAlignment="1">
      <alignment horizontal="right"/>
    </xf>
    <xf numFmtId="0" fontId="0" fillId="22" borderId="11" xfId="0" applyFill="1" applyBorder="1" applyAlignment="1">
      <alignment horizontal="right"/>
    </xf>
    <xf numFmtId="0" fontId="1" fillId="22" borderId="10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22" borderId="0" xfId="0" applyFill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0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 vertical="justify"/>
    </xf>
    <xf numFmtId="0" fontId="1" fillId="22" borderId="15" xfId="0" applyFont="1" applyFill="1" applyBorder="1" applyAlignment="1">
      <alignment horizontal="center" vertical="justify"/>
    </xf>
    <xf numFmtId="0" fontId="1" fillId="22" borderId="16" xfId="0" applyFont="1" applyFill="1" applyBorder="1" applyAlignment="1">
      <alignment horizontal="center" vertical="justify"/>
    </xf>
    <xf numFmtId="0" fontId="1" fillId="22" borderId="0" xfId="0" applyFont="1" applyFill="1" applyBorder="1" applyAlignment="1">
      <alignment horizontal="center" vertical="justify"/>
    </xf>
    <xf numFmtId="0" fontId="0" fillId="7" borderId="10" xfId="0" applyFont="1" applyFill="1" applyBorder="1" applyAlignment="1">
      <alignment horizontal="right"/>
    </xf>
    <xf numFmtId="0" fontId="0" fillId="7" borderId="0" xfId="0" applyFont="1" applyFill="1" applyBorder="1" applyAlignment="1">
      <alignment horizontal="right"/>
    </xf>
    <xf numFmtId="0" fontId="0" fillId="11" borderId="1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1" fillId="7" borderId="2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 vertical="justify"/>
    </xf>
    <xf numFmtId="0" fontId="0" fillId="25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0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right"/>
    </xf>
    <xf numFmtId="0" fontId="0" fillId="7" borderId="0" xfId="0" applyFont="1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0" fontId="6" fillId="7" borderId="1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center"/>
    </xf>
    <xf numFmtId="0" fontId="1" fillId="26" borderId="15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6" borderId="16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11" xfId="0" applyFill="1" applyBorder="1" applyAlignment="1">
      <alignment horizontal="center"/>
    </xf>
    <xf numFmtId="0" fontId="1" fillId="26" borderId="2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1" fillId="25" borderId="20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0" fontId="0" fillId="25" borderId="11" xfId="0" applyFont="1" applyFill="1" applyBorder="1" applyAlignment="1">
      <alignment horizontal="right"/>
    </xf>
    <xf numFmtId="0" fontId="0" fillId="25" borderId="10" xfId="0" applyFill="1" applyBorder="1" applyAlignment="1">
      <alignment horizontal="right" vertical="center"/>
    </xf>
    <xf numFmtId="0" fontId="0" fillId="25" borderId="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/>
    </xf>
    <xf numFmtId="0" fontId="0" fillId="24" borderId="1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0" fontId="1" fillId="26" borderId="20" xfId="0" applyFont="1" applyFill="1" applyBorder="1" applyAlignment="1">
      <alignment horizontal="center"/>
    </xf>
    <xf numFmtId="0" fontId="1" fillId="26" borderId="15" xfId="0" applyFont="1" applyFill="1" applyBorder="1" applyAlignment="1">
      <alignment horizontal="center"/>
    </xf>
    <xf numFmtId="0" fontId="1" fillId="26" borderId="16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/>
    </xf>
    <xf numFmtId="0" fontId="0" fillId="22" borderId="13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0" borderId="22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24" borderId="20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0" fillId="24" borderId="10" xfId="0" applyFont="1" applyFill="1" applyBorder="1" applyAlignment="1" quotePrefix="1">
      <alignment horizontal="right"/>
    </xf>
    <xf numFmtId="0" fontId="0" fillId="24" borderId="0" xfId="0" applyFill="1" applyBorder="1" applyAlignment="1">
      <alignment horizontal="right"/>
    </xf>
    <xf numFmtId="0" fontId="0" fillId="24" borderId="0" xfId="0" applyFont="1" applyFill="1" applyBorder="1" applyAlignment="1" quotePrefix="1">
      <alignment horizontal="right"/>
    </xf>
    <xf numFmtId="0" fontId="0" fillId="24" borderId="11" xfId="0" applyFont="1" applyFill="1" applyBorder="1" applyAlignment="1" quotePrefix="1">
      <alignment horizontal="right"/>
    </xf>
    <xf numFmtId="0" fontId="0" fillId="24" borderId="1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justify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28" borderId="10" xfId="0" applyFill="1" applyBorder="1" applyAlignment="1">
      <alignment horizontal="right"/>
    </xf>
    <xf numFmtId="0" fontId="0" fillId="28" borderId="0" xfId="0" applyFill="1" applyBorder="1" applyAlignment="1">
      <alignment horizontal="right"/>
    </xf>
    <xf numFmtId="0" fontId="1" fillId="28" borderId="20" xfId="0" applyFont="1" applyFill="1" applyBorder="1" applyAlignment="1">
      <alignment horizontal="center"/>
    </xf>
    <xf numFmtId="0" fontId="1" fillId="28" borderId="15" xfId="0" applyFont="1" applyFill="1" applyBorder="1" applyAlignment="1">
      <alignment horizontal="center"/>
    </xf>
    <xf numFmtId="0" fontId="1" fillId="28" borderId="1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right"/>
    </xf>
    <xf numFmtId="0" fontId="6" fillId="7" borderId="0" xfId="0" applyFont="1" applyFill="1" applyBorder="1" applyAlignment="1">
      <alignment horizontal="right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 vertical="justify"/>
    </xf>
    <xf numFmtId="0" fontId="1" fillId="4" borderId="15" xfId="0" applyFont="1" applyFill="1" applyBorder="1" applyAlignment="1">
      <alignment horizontal="center" vertical="justify"/>
    </xf>
    <xf numFmtId="0" fontId="1" fillId="4" borderId="16" xfId="0" applyFont="1" applyFill="1" applyBorder="1" applyAlignment="1">
      <alignment horizontal="center" vertical="justify"/>
    </xf>
    <xf numFmtId="0" fontId="0" fillId="7" borderId="15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22" borderId="0" xfId="0" applyFill="1" applyBorder="1" applyAlignment="1">
      <alignment horizontal="right"/>
    </xf>
    <xf numFmtId="0" fontId="0" fillId="22" borderId="10" xfId="0" applyFont="1" applyFill="1" applyBorder="1" applyAlignment="1">
      <alignment horizontal="right"/>
    </xf>
    <xf numFmtId="0" fontId="0" fillId="22" borderId="0" xfId="0" applyFont="1" applyFill="1" applyBorder="1" applyAlignment="1">
      <alignment horizontal="right"/>
    </xf>
    <xf numFmtId="0" fontId="0" fillId="22" borderId="10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justify"/>
    </xf>
    <xf numFmtId="0" fontId="1" fillId="3" borderId="0" xfId="0" applyFont="1" applyFill="1" applyBorder="1" applyAlignment="1">
      <alignment horizontal="center" vertical="justify"/>
    </xf>
    <xf numFmtId="0" fontId="1" fillId="3" borderId="11" xfId="0" applyFont="1" applyFill="1" applyBorder="1" applyAlignment="1">
      <alignment horizontal="center" vertical="justify"/>
    </xf>
    <xf numFmtId="0" fontId="0" fillId="3" borderId="1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left" vertical="justify"/>
    </xf>
    <xf numFmtId="0" fontId="1" fillId="4" borderId="15" xfId="0" applyFont="1" applyFill="1" applyBorder="1" applyAlignment="1">
      <alignment horizontal="left" vertical="justify"/>
    </xf>
    <xf numFmtId="0" fontId="1" fillId="4" borderId="16" xfId="0" applyFont="1" applyFill="1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1" fillId="4" borderId="10" xfId="0" applyFont="1" applyFill="1" applyBorder="1" applyAlignment="1">
      <alignment horizontal="center" vertical="justify"/>
    </xf>
    <xf numFmtId="0" fontId="1" fillId="4" borderId="0" xfId="0" applyFont="1" applyFill="1" applyBorder="1" applyAlignment="1">
      <alignment horizontal="center" vertical="justify"/>
    </xf>
    <xf numFmtId="0" fontId="1" fillId="4" borderId="11" xfId="0" applyFont="1" applyFill="1" applyBorder="1" applyAlignment="1">
      <alignment horizontal="center" vertical="justify"/>
    </xf>
    <xf numFmtId="0" fontId="0" fillId="26" borderId="10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15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0" fillId="15" borderId="10" xfId="0" applyFill="1" applyBorder="1" applyAlignment="1">
      <alignment horizontal="right"/>
    </xf>
    <xf numFmtId="0" fontId="0" fillId="15" borderId="0" xfId="0" applyFill="1" applyBorder="1" applyAlignment="1">
      <alignment horizontal="right"/>
    </xf>
    <xf numFmtId="0" fontId="0" fillId="15" borderId="1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5" fillId="15" borderId="0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1" fillId="15" borderId="10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1" fillId="15" borderId="11" xfId="0" applyFont="1" applyFill="1" applyBorder="1" applyAlignment="1">
      <alignment horizontal="center"/>
    </xf>
    <xf numFmtId="0" fontId="5" fillId="15" borderId="11" xfId="0" applyFont="1" applyFill="1" applyBorder="1" applyAlignment="1">
      <alignment horizontal="left"/>
    </xf>
    <xf numFmtId="0" fontId="0" fillId="4" borderId="10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25" borderId="10" xfId="0" applyFill="1" applyBorder="1" applyAlignment="1">
      <alignment horizontal="right"/>
    </xf>
    <xf numFmtId="0" fontId="0" fillId="25" borderId="0" xfId="0" applyFill="1" applyBorder="1" applyAlignment="1">
      <alignment horizontal="right"/>
    </xf>
    <xf numFmtId="0" fontId="0" fillId="25" borderId="1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25" borderId="11" xfId="0" applyFill="1" applyBorder="1" applyAlignment="1">
      <alignment horizontal="right"/>
    </xf>
    <xf numFmtId="0" fontId="0" fillId="26" borderId="0" xfId="0" applyFill="1" applyBorder="1" applyAlignment="1">
      <alignment horizontal="right"/>
    </xf>
    <xf numFmtId="0" fontId="0" fillId="26" borderId="11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26" borderId="0" xfId="0" applyFont="1" applyFill="1" applyBorder="1" applyAlignment="1">
      <alignment horizontal="right"/>
    </xf>
    <xf numFmtId="0" fontId="0" fillId="15" borderId="10" xfId="0" applyFont="1" applyFill="1" applyBorder="1" applyAlignment="1">
      <alignment horizontal="right"/>
    </xf>
    <xf numFmtId="0" fontId="0" fillId="15" borderId="0" xfId="0" applyFont="1" applyFill="1" applyBorder="1" applyAlignment="1">
      <alignment horizontal="right"/>
    </xf>
    <xf numFmtId="0" fontId="0" fillId="26" borderId="1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/>
    </xf>
    <xf numFmtId="0" fontId="0" fillId="26" borderId="11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right"/>
    </xf>
    <xf numFmtId="0" fontId="0" fillId="26" borderId="0" xfId="0" applyFont="1" applyFill="1" applyBorder="1" applyAlignment="1">
      <alignment horizontal="right"/>
    </xf>
    <xf numFmtId="0" fontId="0" fillId="26" borderId="10" xfId="0" applyFont="1" applyFill="1" applyBorder="1" applyAlignment="1">
      <alignment horizontal="center"/>
    </xf>
    <xf numFmtId="0" fontId="0" fillId="26" borderId="0" xfId="0" applyFill="1" applyBorder="1" applyAlignment="1">
      <alignment horizontal="right"/>
    </xf>
    <xf numFmtId="0" fontId="0" fillId="26" borderId="10" xfId="0" applyFill="1" applyBorder="1" applyAlignment="1">
      <alignment horizontal="right"/>
    </xf>
    <xf numFmtId="0" fontId="0" fillId="26" borderId="11" xfId="0" applyFont="1" applyFill="1" applyBorder="1" applyAlignment="1">
      <alignment horizontal="right"/>
    </xf>
    <xf numFmtId="0" fontId="0" fillId="4" borderId="1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1" fillId="10" borderId="20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0" fillId="10" borderId="10" xfId="0" applyFill="1" applyBorder="1" applyAlignment="1">
      <alignment horizontal="right"/>
    </xf>
    <xf numFmtId="0" fontId="0" fillId="1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4" borderId="10" xfId="0" applyFont="1" applyFill="1" applyBorder="1" applyAlignment="1">
      <alignment horizontal="right"/>
    </xf>
    <xf numFmtId="0" fontId="0" fillId="4" borderId="11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10" borderId="10" xfId="0" applyFont="1" applyFill="1" applyBorder="1" applyAlignment="1">
      <alignment horizontal="right"/>
    </xf>
    <xf numFmtId="0" fontId="0" fillId="10" borderId="0" xfId="0" applyFont="1" applyFill="1" applyBorder="1" applyAlignment="1">
      <alignment horizontal="right"/>
    </xf>
    <xf numFmtId="0" fontId="0" fillId="10" borderId="0" xfId="0" applyFont="1" applyFill="1" applyBorder="1" applyAlignment="1">
      <alignment horizontal="center"/>
    </xf>
    <xf numFmtId="0" fontId="0" fillId="7" borderId="12" xfId="0" applyFill="1" applyBorder="1" applyAlignment="1">
      <alignment horizontal="right"/>
    </xf>
    <xf numFmtId="0" fontId="0" fillId="7" borderId="13" xfId="0" applyFill="1" applyBorder="1" applyAlignment="1">
      <alignment horizontal="right"/>
    </xf>
    <xf numFmtId="183" fontId="16" fillId="15" borderId="0" xfId="0" applyNumberFormat="1" applyFont="1" applyFill="1" applyBorder="1" applyAlignment="1">
      <alignment horizontal="left"/>
    </xf>
    <xf numFmtId="183" fontId="5" fillId="15" borderId="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15" borderId="10" xfId="0" applyFont="1" applyFill="1" applyBorder="1" applyAlignment="1">
      <alignment horizontal="right"/>
    </xf>
    <xf numFmtId="0" fontId="0" fillId="15" borderId="0" xfId="0" applyFont="1" applyFill="1" applyBorder="1" applyAlignment="1">
      <alignment horizontal="right"/>
    </xf>
    <xf numFmtId="0" fontId="0" fillId="15" borderId="10" xfId="0" applyFont="1" applyFill="1" applyBorder="1" applyAlignment="1">
      <alignment horizontal="right"/>
    </xf>
    <xf numFmtId="0" fontId="0" fillId="15" borderId="0" xfId="0" applyFont="1" applyFill="1" applyBorder="1" applyAlignment="1">
      <alignment horizontal="right"/>
    </xf>
    <xf numFmtId="0" fontId="14" fillId="15" borderId="10" xfId="0" applyFont="1" applyFill="1" applyBorder="1" applyAlignment="1">
      <alignment horizontal="right"/>
    </xf>
    <xf numFmtId="0" fontId="14" fillId="15" borderId="0" xfId="0" applyFont="1" applyFill="1" applyBorder="1" applyAlignment="1">
      <alignment horizontal="right"/>
    </xf>
    <xf numFmtId="0" fontId="0" fillId="26" borderId="10" xfId="0" applyFont="1" applyFill="1" applyBorder="1" applyAlignment="1">
      <alignment horizontal="right"/>
    </xf>
    <xf numFmtId="0" fontId="0" fillId="26" borderId="11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1" fillId="22" borderId="20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" fillId="0" borderId="1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5" fillId="15" borderId="0" xfId="0" applyFont="1" applyFill="1" applyBorder="1" applyAlignment="1">
      <alignment horizontal="left"/>
    </xf>
    <xf numFmtId="189" fontId="5" fillId="15" borderId="0" xfId="0" applyNumberFormat="1" applyFont="1" applyFill="1" applyBorder="1" applyAlignment="1">
      <alignment horizontal="center"/>
    </xf>
    <xf numFmtId="189" fontId="5" fillId="15" borderId="11" xfId="0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8" borderId="10" xfId="0" applyFont="1" applyFill="1" applyBorder="1" applyAlignment="1">
      <alignment horizontal="right"/>
    </xf>
    <xf numFmtId="0" fontId="0" fillId="8" borderId="11" xfId="0" applyFont="1" applyFill="1" applyBorder="1" applyAlignment="1">
      <alignment horizontal="right"/>
    </xf>
    <xf numFmtId="0" fontId="1" fillId="8" borderId="20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11" xfId="0" applyFont="1" applyFill="1" applyBorder="1" applyAlignment="1">
      <alignment horizontal="center"/>
    </xf>
    <xf numFmtId="0" fontId="0" fillId="8" borderId="10" xfId="0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0" fillId="8" borderId="1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76200</xdr:rowOff>
    </xdr:from>
    <xdr:to>
      <xdr:col>11</xdr:col>
      <xdr:colOff>200025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38125"/>
          <a:ext cx="809625" cy="13525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24</xdr:row>
      <xdr:rowOff>66675</xdr:rowOff>
    </xdr:from>
    <xdr:to>
      <xdr:col>11</xdr:col>
      <xdr:colOff>438150</xdr:colOff>
      <xdr:row>32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4133850"/>
          <a:ext cx="981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44</xdr:row>
      <xdr:rowOff>57150</xdr:rowOff>
    </xdr:from>
    <xdr:to>
      <xdr:col>5</xdr:col>
      <xdr:colOff>504825</xdr:colOff>
      <xdr:row>49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7448550"/>
          <a:ext cx="1990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44</xdr:row>
      <xdr:rowOff>123825</xdr:rowOff>
    </xdr:from>
    <xdr:to>
      <xdr:col>8</xdr:col>
      <xdr:colOff>561975</xdr:colOff>
      <xdr:row>48</xdr:row>
      <xdr:rowOff>152400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7515225"/>
          <a:ext cx="1990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552450</xdr:colOff>
      <xdr:row>24</xdr:row>
      <xdr:rowOff>161925</xdr:rowOff>
    </xdr:from>
    <xdr:to>
      <xdr:col>17</xdr:col>
      <xdr:colOff>904875</xdr:colOff>
      <xdr:row>32</xdr:row>
      <xdr:rowOff>114300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77700" y="4229100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619125</xdr:colOff>
      <xdr:row>24</xdr:row>
      <xdr:rowOff>114300</xdr:rowOff>
    </xdr:from>
    <xdr:to>
      <xdr:col>25</xdr:col>
      <xdr:colOff>657225</xdr:colOff>
      <xdr:row>32</xdr:row>
      <xdr:rowOff>123825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11900" y="4181475"/>
          <a:ext cx="1352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25</xdr:row>
      <xdr:rowOff>76200</xdr:rowOff>
    </xdr:from>
    <xdr:to>
      <xdr:col>10</xdr:col>
      <xdr:colOff>390525</xdr:colOff>
      <xdr:row>29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314825"/>
          <a:ext cx="1609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36</xdr:row>
      <xdr:rowOff>95250</xdr:rowOff>
    </xdr:from>
    <xdr:to>
      <xdr:col>14</xdr:col>
      <xdr:colOff>419100</xdr:colOff>
      <xdr:row>47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6115050"/>
          <a:ext cx="17716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36</xdr:row>
      <xdr:rowOff>114300</xdr:rowOff>
    </xdr:from>
    <xdr:to>
      <xdr:col>7</xdr:col>
      <xdr:colOff>428625</xdr:colOff>
      <xdr:row>48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6134100"/>
          <a:ext cx="2466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64</xdr:row>
      <xdr:rowOff>142875</xdr:rowOff>
    </xdr:from>
    <xdr:to>
      <xdr:col>5</xdr:col>
      <xdr:colOff>628650</xdr:colOff>
      <xdr:row>68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0810875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42</xdr:row>
      <xdr:rowOff>123825</xdr:rowOff>
    </xdr:from>
    <xdr:to>
      <xdr:col>13</xdr:col>
      <xdr:colOff>247650</xdr:colOff>
      <xdr:row>47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7162800"/>
          <a:ext cx="1581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65</xdr:row>
      <xdr:rowOff>95250</xdr:rowOff>
    </xdr:from>
    <xdr:to>
      <xdr:col>1</xdr:col>
      <xdr:colOff>514350</xdr:colOff>
      <xdr:row>67</xdr:row>
      <xdr:rowOff>152400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6275" y="10925175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52</xdr:row>
      <xdr:rowOff>38100</xdr:rowOff>
    </xdr:from>
    <xdr:to>
      <xdr:col>13</xdr:col>
      <xdr:colOff>314325</xdr:colOff>
      <xdr:row>57</xdr:row>
      <xdr:rowOff>28575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34350" y="8724900"/>
          <a:ext cx="1647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61</xdr:row>
      <xdr:rowOff>123825</xdr:rowOff>
    </xdr:from>
    <xdr:to>
      <xdr:col>13</xdr:col>
      <xdr:colOff>323850</xdr:colOff>
      <xdr:row>65</xdr:row>
      <xdr:rowOff>76200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53400" y="10296525"/>
          <a:ext cx="163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409575</xdr:colOff>
      <xdr:row>28</xdr:row>
      <xdr:rowOff>152400</xdr:rowOff>
    </xdr:from>
    <xdr:to>
      <xdr:col>22</xdr:col>
      <xdr:colOff>104775</xdr:colOff>
      <xdr:row>34</xdr:row>
      <xdr:rowOff>104775</xdr:rowOff>
    </xdr:to>
    <xdr:pic>
      <xdr:nvPicPr>
        <xdr:cNvPr id="6" name="Picture 4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54175" y="4838700"/>
          <a:ext cx="1914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showGridLines="0" showRowColHeaders="0" tabSelected="1" zoomScalePageLayoutView="0" workbookViewId="0" topLeftCell="A1">
      <selection activeCell="B21" sqref="B21"/>
    </sheetView>
  </sheetViews>
  <sheetFormatPr defaultColWidth="9.140625" defaultRowHeight="12.75"/>
  <cols>
    <col min="1" max="1" width="10.140625" style="0" customWidth="1"/>
    <col min="6" max="6" width="11.140625" style="0" customWidth="1"/>
    <col min="8" max="8" width="10.7109375" style="0" customWidth="1"/>
    <col min="10" max="10" width="3.7109375" style="0" customWidth="1"/>
    <col min="17" max="17" width="10.7109375" style="0" customWidth="1"/>
  </cols>
  <sheetData>
    <row r="1" spans="1:25" ht="12.75">
      <c r="A1" s="886" t="s">
        <v>247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412"/>
      <c r="U1" s="412"/>
      <c r="V1" s="412"/>
      <c r="W1" s="412"/>
      <c r="X1" s="412"/>
      <c r="Y1" s="412"/>
    </row>
    <row r="3" ht="18">
      <c r="H3" s="409" t="s">
        <v>278</v>
      </c>
    </row>
    <row r="4" ht="18">
      <c r="H4" s="409"/>
    </row>
    <row r="5" ht="18">
      <c r="H5" s="409"/>
    </row>
    <row r="6" spans="3:18" ht="12.75">
      <c r="C6" s="410" t="s">
        <v>500</v>
      </c>
      <c r="D6" s="410"/>
      <c r="H6" s="284" t="s">
        <v>501</v>
      </c>
      <c r="I6" s="284" t="s">
        <v>512</v>
      </c>
      <c r="K6" s="573"/>
      <c r="L6" s="410" t="s">
        <v>500</v>
      </c>
      <c r="M6" s="410"/>
      <c r="Q6" s="284" t="s">
        <v>501</v>
      </c>
      <c r="R6" s="284" t="s">
        <v>512</v>
      </c>
    </row>
    <row r="7" spans="3:18" ht="12.75">
      <c r="C7" s="887" t="s">
        <v>778</v>
      </c>
      <c r="D7" s="887"/>
      <c r="E7" s="887"/>
      <c r="F7" s="887"/>
      <c r="H7" s="411" t="s">
        <v>40</v>
      </c>
      <c r="I7" s="476" t="s">
        <v>506</v>
      </c>
      <c r="K7" s="573"/>
      <c r="L7" t="s">
        <v>868</v>
      </c>
      <c r="Q7" s="411" t="s">
        <v>291</v>
      </c>
      <c r="R7" s="476" t="s">
        <v>881</v>
      </c>
    </row>
    <row r="8" spans="3:18" ht="12.75">
      <c r="C8" t="s">
        <v>875</v>
      </c>
      <c r="H8" s="411" t="s">
        <v>279</v>
      </c>
      <c r="I8" s="476" t="s">
        <v>906</v>
      </c>
      <c r="K8" s="573"/>
      <c r="L8" t="s">
        <v>873</v>
      </c>
      <c r="Q8" s="411" t="s">
        <v>291</v>
      </c>
      <c r="R8" s="476" t="s">
        <v>882</v>
      </c>
    </row>
    <row r="9" spans="3:18" ht="12.75">
      <c r="C9" t="s">
        <v>147</v>
      </c>
      <c r="H9" s="411" t="s">
        <v>667</v>
      </c>
      <c r="I9" s="476" t="s">
        <v>503</v>
      </c>
      <c r="K9" s="573"/>
      <c r="L9" t="s">
        <v>476</v>
      </c>
      <c r="Q9" s="411" t="s">
        <v>291</v>
      </c>
      <c r="R9" s="478" t="s">
        <v>507</v>
      </c>
    </row>
    <row r="10" spans="3:18" ht="12.75">
      <c r="C10" t="s">
        <v>748</v>
      </c>
      <c r="H10" s="411" t="s">
        <v>650</v>
      </c>
      <c r="I10" s="476" t="s">
        <v>544</v>
      </c>
      <c r="K10" s="573"/>
      <c r="L10" t="s">
        <v>24</v>
      </c>
      <c r="Q10" s="411" t="s">
        <v>4</v>
      </c>
      <c r="R10" s="478" t="s">
        <v>536</v>
      </c>
    </row>
    <row r="11" spans="3:18" ht="12.75">
      <c r="C11" t="s">
        <v>863</v>
      </c>
      <c r="H11" s="411" t="s">
        <v>291</v>
      </c>
      <c r="I11" s="476" t="s">
        <v>879</v>
      </c>
      <c r="K11" s="573"/>
      <c r="L11" t="s">
        <v>24</v>
      </c>
      <c r="Q11" s="411" t="s">
        <v>40</v>
      </c>
      <c r="R11" s="478" t="s">
        <v>537</v>
      </c>
    </row>
    <row r="12" spans="3:18" ht="12.75">
      <c r="C12" t="s">
        <v>869</v>
      </c>
      <c r="H12" s="411" t="s">
        <v>291</v>
      </c>
      <c r="I12" s="476" t="s">
        <v>877</v>
      </c>
      <c r="K12" s="573"/>
      <c r="L12" t="s">
        <v>223</v>
      </c>
      <c r="Q12" s="411" t="s">
        <v>291</v>
      </c>
      <c r="R12" s="478" t="s">
        <v>502</v>
      </c>
    </row>
    <row r="13" spans="3:18" ht="12.75">
      <c r="C13" t="s">
        <v>574</v>
      </c>
      <c r="H13" s="411" t="s">
        <v>4</v>
      </c>
      <c r="I13" s="476" t="s">
        <v>583</v>
      </c>
      <c r="K13" s="573"/>
      <c r="L13" t="s">
        <v>315</v>
      </c>
      <c r="Q13" s="411" t="s">
        <v>651</v>
      </c>
      <c r="R13" s="476" t="s">
        <v>538</v>
      </c>
    </row>
    <row r="14" spans="3:18" ht="12.75">
      <c r="C14" s="411" t="s">
        <v>620</v>
      </c>
      <c r="H14" s="411" t="s">
        <v>291</v>
      </c>
      <c r="I14" s="476" t="s">
        <v>533</v>
      </c>
      <c r="K14" s="573"/>
      <c r="L14" t="s">
        <v>283</v>
      </c>
      <c r="Q14" s="411" t="s">
        <v>4</v>
      </c>
      <c r="R14" s="478" t="s">
        <v>533</v>
      </c>
    </row>
    <row r="15" spans="3:18" ht="12.75">
      <c r="C15" t="s">
        <v>633</v>
      </c>
      <c r="H15" t="s">
        <v>291</v>
      </c>
      <c r="I15" s="476" t="s">
        <v>598</v>
      </c>
      <c r="K15" s="573"/>
      <c r="L15" t="s">
        <v>283</v>
      </c>
      <c r="Q15" s="411" t="s">
        <v>667</v>
      </c>
      <c r="R15" s="476" t="s">
        <v>502</v>
      </c>
    </row>
    <row r="16" spans="3:18" ht="12.75">
      <c r="C16" t="s">
        <v>634</v>
      </c>
      <c r="H16" t="s">
        <v>291</v>
      </c>
      <c r="I16" s="476" t="s">
        <v>535</v>
      </c>
      <c r="K16" s="573"/>
      <c r="L16" t="s">
        <v>71</v>
      </c>
      <c r="Q16" s="411" t="s">
        <v>279</v>
      </c>
      <c r="R16" s="476" t="s">
        <v>539</v>
      </c>
    </row>
    <row r="17" spans="3:18" ht="12.75">
      <c r="C17" t="s">
        <v>294</v>
      </c>
      <c r="H17" s="411" t="s">
        <v>4</v>
      </c>
      <c r="I17" s="476" t="s">
        <v>504</v>
      </c>
      <c r="K17" s="573"/>
      <c r="L17" t="s">
        <v>45</v>
      </c>
      <c r="Q17" s="411" t="s">
        <v>4</v>
      </c>
      <c r="R17" s="478" t="s">
        <v>542</v>
      </c>
    </row>
    <row r="18" spans="3:18" ht="12.75">
      <c r="C18" t="s">
        <v>295</v>
      </c>
      <c r="H18" s="411" t="s">
        <v>4</v>
      </c>
      <c r="I18" s="476" t="s">
        <v>505</v>
      </c>
      <c r="K18" s="573"/>
      <c r="L18" t="s">
        <v>45</v>
      </c>
      <c r="Q18" s="411" t="s">
        <v>40</v>
      </c>
      <c r="R18" s="478" t="s">
        <v>541</v>
      </c>
    </row>
    <row r="19" spans="3:18" ht="12.75">
      <c r="C19" t="s">
        <v>470</v>
      </c>
      <c r="H19" s="411" t="s">
        <v>291</v>
      </c>
      <c r="I19" s="476" t="s">
        <v>506</v>
      </c>
      <c r="K19" s="573"/>
      <c r="L19" t="s">
        <v>287</v>
      </c>
      <c r="Q19" s="411" t="s">
        <v>4</v>
      </c>
      <c r="R19" s="478" t="s">
        <v>543</v>
      </c>
    </row>
    <row r="20" spans="3:18" ht="12.75">
      <c r="C20" t="s">
        <v>209</v>
      </c>
      <c r="H20" s="411" t="s">
        <v>40</v>
      </c>
      <c r="I20" s="476" t="s">
        <v>507</v>
      </c>
      <c r="K20" s="573"/>
      <c r="L20" t="s">
        <v>287</v>
      </c>
      <c r="Q20" s="411" t="s">
        <v>40</v>
      </c>
      <c r="R20" s="478" t="s">
        <v>544</v>
      </c>
    </row>
    <row r="21" spans="3:18" ht="12.75">
      <c r="C21" t="s">
        <v>893</v>
      </c>
      <c r="H21" s="411" t="s">
        <v>651</v>
      </c>
      <c r="I21" s="476" t="s">
        <v>891</v>
      </c>
      <c r="K21" s="573"/>
      <c r="L21" t="s">
        <v>451</v>
      </c>
      <c r="Q21" s="411" t="s">
        <v>4</v>
      </c>
      <c r="R21" s="478" t="s">
        <v>540</v>
      </c>
    </row>
    <row r="22" spans="3:18" ht="12.75">
      <c r="C22" t="s">
        <v>1053</v>
      </c>
      <c r="H22" s="411" t="s">
        <v>651</v>
      </c>
      <c r="I22" s="476" t="s">
        <v>1052</v>
      </c>
      <c r="K22" s="573"/>
      <c r="L22" t="s">
        <v>451</v>
      </c>
      <c r="Q22" s="411" t="s">
        <v>40</v>
      </c>
      <c r="R22" s="478" t="s">
        <v>545</v>
      </c>
    </row>
    <row r="23" spans="3:18" ht="12.75">
      <c r="C23" t="s">
        <v>602</v>
      </c>
      <c r="H23" s="411" t="s">
        <v>291</v>
      </c>
      <c r="I23" s="476" t="s">
        <v>533</v>
      </c>
      <c r="K23" s="573"/>
      <c r="L23" t="s">
        <v>286</v>
      </c>
      <c r="Q23" s="411" t="s">
        <v>4</v>
      </c>
      <c r="R23" s="478" t="s">
        <v>532</v>
      </c>
    </row>
    <row r="24" spans="3:18" ht="12.75">
      <c r="C24" t="s">
        <v>603</v>
      </c>
      <c r="H24" s="411" t="s">
        <v>291</v>
      </c>
      <c r="I24" s="476" t="s">
        <v>604</v>
      </c>
      <c r="K24" s="573"/>
      <c r="L24" t="s">
        <v>286</v>
      </c>
      <c r="Q24" s="411" t="s">
        <v>40</v>
      </c>
      <c r="R24" s="478" t="s">
        <v>502</v>
      </c>
    </row>
    <row r="25" spans="3:18" ht="12.75">
      <c r="C25" t="s">
        <v>140</v>
      </c>
      <c r="H25" s="411" t="s">
        <v>667</v>
      </c>
      <c r="I25" s="476" t="s">
        <v>887</v>
      </c>
      <c r="K25" s="573"/>
      <c r="L25" t="s">
        <v>212</v>
      </c>
      <c r="Q25" s="411" t="s">
        <v>4</v>
      </c>
      <c r="R25" s="478" t="s">
        <v>546</v>
      </c>
    </row>
    <row r="26" spans="3:18" ht="12.75">
      <c r="C26" t="s">
        <v>141</v>
      </c>
      <c r="H26" s="411" t="s">
        <v>667</v>
      </c>
      <c r="I26" s="476" t="s">
        <v>888</v>
      </c>
      <c r="K26" s="573"/>
      <c r="L26" t="s">
        <v>212</v>
      </c>
      <c r="Q26" s="411" t="s">
        <v>40</v>
      </c>
      <c r="R26" s="478" t="s">
        <v>547</v>
      </c>
    </row>
    <row r="27" spans="3:18" ht="12.75">
      <c r="C27" t="s">
        <v>508</v>
      </c>
      <c r="H27" s="411" t="s">
        <v>667</v>
      </c>
      <c r="I27" s="476" t="s">
        <v>885</v>
      </c>
      <c r="K27" s="573"/>
      <c r="L27" t="s">
        <v>467</v>
      </c>
      <c r="Q27" s="411" t="s">
        <v>651</v>
      </c>
      <c r="R27" s="476" t="s">
        <v>548</v>
      </c>
    </row>
    <row r="28" spans="3:18" ht="12.75">
      <c r="C28" t="s">
        <v>509</v>
      </c>
      <c r="H28" s="411" t="s">
        <v>667</v>
      </c>
      <c r="I28" s="476" t="s">
        <v>886</v>
      </c>
      <c r="K28" s="573"/>
      <c r="L28" t="s">
        <v>47</v>
      </c>
      <c r="Q28" s="411" t="s">
        <v>667</v>
      </c>
      <c r="R28" s="476" t="s">
        <v>549</v>
      </c>
    </row>
    <row r="29" spans="3:18" ht="12.75">
      <c r="C29" t="s">
        <v>955</v>
      </c>
      <c r="H29" s="411" t="s">
        <v>291</v>
      </c>
      <c r="I29" s="476" t="s">
        <v>958</v>
      </c>
      <c r="K29" s="573"/>
      <c r="L29" t="s">
        <v>55</v>
      </c>
      <c r="Q29" s="411" t="s">
        <v>667</v>
      </c>
      <c r="R29" s="476" t="s">
        <v>550</v>
      </c>
    </row>
    <row r="30" spans="3:18" ht="12.75">
      <c r="C30" t="s">
        <v>957</v>
      </c>
      <c r="H30" s="411" t="s">
        <v>291</v>
      </c>
      <c r="I30" s="476" t="s">
        <v>959</v>
      </c>
      <c r="K30" s="573"/>
      <c r="L30" t="s">
        <v>813</v>
      </c>
      <c r="Q30" s="411" t="s">
        <v>40</v>
      </c>
      <c r="R30" s="476" t="s">
        <v>815</v>
      </c>
    </row>
    <row r="31" spans="3:18" ht="12.75">
      <c r="C31" t="s">
        <v>956</v>
      </c>
      <c r="H31" s="411" t="s">
        <v>291</v>
      </c>
      <c r="I31" s="476" t="s">
        <v>960</v>
      </c>
      <c r="K31" s="573"/>
      <c r="L31" t="s">
        <v>814</v>
      </c>
      <c r="Q31" s="411" t="s">
        <v>40</v>
      </c>
      <c r="R31" s="476" t="s">
        <v>816</v>
      </c>
    </row>
    <row r="32" spans="3:18" ht="12.75">
      <c r="C32" t="s">
        <v>857</v>
      </c>
      <c r="H32" s="411" t="s">
        <v>291</v>
      </c>
      <c r="I32" s="476" t="s">
        <v>877</v>
      </c>
      <c r="K32" s="573"/>
      <c r="L32" t="s">
        <v>67</v>
      </c>
      <c r="Q32" s="411" t="s">
        <v>279</v>
      </c>
      <c r="R32" s="478" t="s">
        <v>545</v>
      </c>
    </row>
    <row r="33" spans="3:18" ht="12.75">
      <c r="C33" t="s">
        <v>226</v>
      </c>
      <c r="H33" s="411" t="s">
        <v>4</v>
      </c>
      <c r="I33" s="476" t="s">
        <v>513</v>
      </c>
      <c r="K33" s="573"/>
      <c r="L33" t="s">
        <v>67</v>
      </c>
      <c r="Q33" s="411" t="s">
        <v>4</v>
      </c>
      <c r="R33" s="478" t="s">
        <v>551</v>
      </c>
    </row>
    <row r="34" spans="3:18" ht="12.75">
      <c r="C34" t="s">
        <v>226</v>
      </c>
      <c r="H34" s="411" t="s">
        <v>40</v>
      </c>
      <c r="I34" s="476" t="s">
        <v>514</v>
      </c>
      <c r="K34" s="573"/>
      <c r="L34" t="s">
        <v>73</v>
      </c>
      <c r="Q34" s="411" t="s">
        <v>651</v>
      </c>
      <c r="R34" s="476" t="s">
        <v>539</v>
      </c>
    </row>
    <row r="35" spans="3:18" ht="12.75">
      <c r="C35" t="s">
        <v>235</v>
      </c>
      <c r="H35" s="411" t="s">
        <v>291</v>
      </c>
      <c r="I35" s="476" t="s">
        <v>515</v>
      </c>
      <c r="K35" s="573"/>
      <c r="L35" t="s">
        <v>206</v>
      </c>
      <c r="Q35" s="411" t="s">
        <v>4</v>
      </c>
      <c r="R35" s="478" t="s">
        <v>552</v>
      </c>
    </row>
    <row r="36" spans="3:18" ht="12.75">
      <c r="C36" t="s">
        <v>685</v>
      </c>
      <c r="H36" s="411" t="s">
        <v>650</v>
      </c>
      <c r="I36" s="476" t="s">
        <v>544</v>
      </c>
      <c r="K36" s="573"/>
      <c r="L36" t="s">
        <v>206</v>
      </c>
      <c r="Q36" s="411" t="s">
        <v>667</v>
      </c>
      <c r="R36" s="476" t="s">
        <v>533</v>
      </c>
    </row>
    <row r="37" spans="3:18" ht="12.75">
      <c r="C37" t="s">
        <v>642</v>
      </c>
      <c r="H37" s="411" t="s">
        <v>651</v>
      </c>
      <c r="I37" s="476" t="s">
        <v>1060</v>
      </c>
      <c r="K37" s="573"/>
      <c r="L37" t="s">
        <v>52</v>
      </c>
      <c r="Q37" s="411" t="s">
        <v>4</v>
      </c>
      <c r="R37" s="478" t="s">
        <v>553</v>
      </c>
    </row>
    <row r="38" spans="3:18" ht="12.75">
      <c r="C38" t="s">
        <v>605</v>
      </c>
      <c r="H38" s="411" t="s">
        <v>291</v>
      </c>
      <c r="I38" s="476" t="s">
        <v>606</v>
      </c>
      <c r="K38" s="573"/>
      <c r="L38" t="s">
        <v>52</v>
      </c>
      <c r="Q38" s="411" t="s">
        <v>40</v>
      </c>
      <c r="R38" s="478" t="s">
        <v>518</v>
      </c>
    </row>
    <row r="39" spans="3:18" ht="12.75">
      <c r="C39" t="s">
        <v>155</v>
      </c>
      <c r="H39" s="411" t="s">
        <v>4</v>
      </c>
      <c r="I39" s="476" t="s">
        <v>507</v>
      </c>
      <c r="K39" s="573"/>
      <c r="L39" t="s">
        <v>272</v>
      </c>
      <c r="Q39" s="411" t="s">
        <v>291</v>
      </c>
      <c r="R39" s="478" t="s">
        <v>554</v>
      </c>
    </row>
    <row r="40" spans="3:18" ht="12.75">
      <c r="C40" t="s">
        <v>82</v>
      </c>
      <c r="H40" s="411" t="s">
        <v>4</v>
      </c>
      <c r="I40" s="476" t="s">
        <v>516</v>
      </c>
      <c r="K40" s="573"/>
      <c r="L40" t="s">
        <v>154</v>
      </c>
      <c r="Q40" s="411" t="s">
        <v>279</v>
      </c>
      <c r="R40" s="476" t="s">
        <v>902</v>
      </c>
    </row>
    <row r="41" spans="3:18" ht="12.75">
      <c r="C41" t="s">
        <v>62</v>
      </c>
      <c r="H41" s="411" t="s">
        <v>4</v>
      </c>
      <c r="I41" s="476" t="s">
        <v>517</v>
      </c>
      <c r="K41" s="573"/>
      <c r="L41" t="s">
        <v>903</v>
      </c>
      <c r="Q41" s="411" t="s">
        <v>279</v>
      </c>
      <c r="R41" s="476" t="s">
        <v>905</v>
      </c>
    </row>
    <row r="42" spans="3:18" ht="12.75">
      <c r="C42" t="s">
        <v>248</v>
      </c>
      <c r="H42" s="411" t="s">
        <v>4</v>
      </c>
      <c r="I42" s="476" t="s">
        <v>518</v>
      </c>
      <c r="K42" s="573"/>
      <c r="L42" t="s">
        <v>289</v>
      </c>
      <c r="Q42" s="411" t="s">
        <v>651</v>
      </c>
      <c r="R42" s="476" t="s">
        <v>540</v>
      </c>
    </row>
    <row r="43" spans="3:18" ht="12.75">
      <c r="C43" t="s">
        <v>461</v>
      </c>
      <c r="H43" s="411" t="s">
        <v>651</v>
      </c>
      <c r="I43" s="476" t="s">
        <v>519</v>
      </c>
      <c r="K43" s="573"/>
      <c r="L43" t="s">
        <v>847</v>
      </c>
      <c r="Q43" s="411" t="s">
        <v>291</v>
      </c>
      <c r="R43" s="476" t="s">
        <v>878</v>
      </c>
    </row>
    <row r="44" spans="3:18" ht="12.75">
      <c r="C44" t="s">
        <v>483</v>
      </c>
      <c r="H44" s="411" t="s">
        <v>291</v>
      </c>
      <c r="I44" s="476" t="s">
        <v>520</v>
      </c>
      <c r="K44" s="573"/>
      <c r="L44" t="s">
        <v>459</v>
      </c>
      <c r="Q44" s="411" t="s">
        <v>651</v>
      </c>
      <c r="R44" s="476" t="s">
        <v>555</v>
      </c>
    </row>
    <row r="45" spans="3:18" ht="12.75">
      <c r="C45" t="s">
        <v>320</v>
      </c>
      <c r="H45" s="411" t="s">
        <v>651</v>
      </c>
      <c r="I45" s="476" t="s">
        <v>521</v>
      </c>
      <c r="K45" s="573"/>
      <c r="L45" t="s">
        <v>498</v>
      </c>
      <c r="Q45" s="411" t="s">
        <v>651</v>
      </c>
      <c r="R45" s="476" t="s">
        <v>556</v>
      </c>
    </row>
    <row r="46" spans="3:18" ht="12.75">
      <c r="C46" t="s">
        <v>65</v>
      </c>
      <c r="H46" s="411" t="s">
        <v>651</v>
      </c>
      <c r="I46" s="476" t="s">
        <v>516</v>
      </c>
      <c r="K46" s="573"/>
      <c r="L46" t="s">
        <v>675</v>
      </c>
      <c r="Q46" s="411" t="s">
        <v>650</v>
      </c>
      <c r="R46" s="517" t="s">
        <v>992</v>
      </c>
    </row>
    <row r="47" spans="3:18" ht="12.75">
      <c r="C47" t="s">
        <v>636</v>
      </c>
      <c r="H47" s="411" t="s">
        <v>651</v>
      </c>
      <c r="I47" s="476" t="s">
        <v>522</v>
      </c>
      <c r="K47" s="573"/>
      <c r="L47" t="s">
        <v>31</v>
      </c>
      <c r="Q47" s="411" t="s">
        <v>651</v>
      </c>
      <c r="R47" s="476" t="s">
        <v>545</v>
      </c>
    </row>
    <row r="48" spans="3:18" ht="12.75">
      <c r="C48" t="s">
        <v>21</v>
      </c>
      <c r="H48" s="411" t="s">
        <v>651</v>
      </c>
      <c r="I48" s="476" t="s">
        <v>502</v>
      </c>
      <c r="K48" s="573"/>
      <c r="L48" t="s">
        <v>149</v>
      </c>
      <c r="Q48" s="411" t="s">
        <v>651</v>
      </c>
      <c r="R48" s="476" t="s">
        <v>557</v>
      </c>
    </row>
    <row r="49" spans="3:18" ht="12.75">
      <c r="C49" t="s">
        <v>242</v>
      </c>
      <c r="H49" s="411" t="s">
        <v>291</v>
      </c>
      <c r="I49" s="476" t="s">
        <v>523</v>
      </c>
      <c r="K49" s="573"/>
      <c r="L49" t="s">
        <v>862</v>
      </c>
      <c r="Q49" s="411" t="s">
        <v>291</v>
      </c>
      <c r="R49" s="476" t="s">
        <v>876</v>
      </c>
    </row>
    <row r="50" spans="3:18" ht="12.75">
      <c r="C50" t="s">
        <v>858</v>
      </c>
      <c r="H50" s="411" t="s">
        <v>291</v>
      </c>
      <c r="I50" s="476" t="s">
        <v>880</v>
      </c>
      <c r="K50" s="573"/>
      <c r="L50" t="s">
        <v>285</v>
      </c>
      <c r="Q50" s="411" t="s">
        <v>4</v>
      </c>
      <c r="R50" s="478" t="s">
        <v>558</v>
      </c>
    </row>
    <row r="51" spans="3:18" ht="12.75">
      <c r="C51" t="s">
        <v>848</v>
      </c>
      <c r="H51" s="411" t="s">
        <v>291</v>
      </c>
      <c r="I51" s="476" t="s">
        <v>879</v>
      </c>
      <c r="K51" s="573"/>
      <c r="L51" t="s">
        <v>285</v>
      </c>
      <c r="Q51" s="411" t="s">
        <v>667</v>
      </c>
      <c r="R51" s="476" t="s">
        <v>559</v>
      </c>
    </row>
    <row r="52" spans="3:18" ht="12.75">
      <c r="C52" t="s">
        <v>293</v>
      </c>
      <c r="H52" s="411" t="s">
        <v>667</v>
      </c>
      <c r="I52" s="476" t="s">
        <v>524</v>
      </c>
      <c r="K52" s="573"/>
      <c r="L52" t="s">
        <v>97</v>
      </c>
      <c r="Q52" s="411" t="s">
        <v>291</v>
      </c>
      <c r="R52" s="478" t="s">
        <v>560</v>
      </c>
    </row>
    <row r="53" spans="3:18" ht="12.75">
      <c r="C53" t="s">
        <v>292</v>
      </c>
      <c r="H53" s="411" t="s">
        <v>667</v>
      </c>
      <c r="I53" s="476" t="s">
        <v>525</v>
      </c>
      <c r="K53" s="573"/>
      <c r="L53" t="s">
        <v>652</v>
      </c>
      <c r="Q53" s="411" t="s">
        <v>650</v>
      </c>
      <c r="R53" s="517" t="s">
        <v>721</v>
      </c>
    </row>
    <row r="54" spans="3:18" ht="12.75">
      <c r="C54" t="s">
        <v>756</v>
      </c>
      <c r="H54" s="411" t="s">
        <v>667</v>
      </c>
      <c r="I54" s="476" t="s">
        <v>510</v>
      </c>
      <c r="K54" s="573"/>
      <c r="L54" t="s">
        <v>1007</v>
      </c>
      <c r="Q54" s="411" t="s">
        <v>279</v>
      </c>
      <c r="R54" s="476" t="s">
        <v>1008</v>
      </c>
    </row>
    <row r="55" spans="3:18" ht="12.75">
      <c r="C55" t="s">
        <v>757</v>
      </c>
      <c r="H55" s="411" t="s">
        <v>667</v>
      </c>
      <c r="I55" s="476" t="s">
        <v>511</v>
      </c>
      <c r="K55" s="573"/>
      <c r="L55" t="s">
        <v>445</v>
      </c>
      <c r="Q55" s="411" t="s">
        <v>667</v>
      </c>
      <c r="R55" s="476" t="s">
        <v>890</v>
      </c>
    </row>
    <row r="56" spans="3:18" ht="12.75">
      <c r="C56" t="s">
        <v>217</v>
      </c>
      <c r="H56" s="411" t="s">
        <v>291</v>
      </c>
      <c r="I56" s="478" t="s">
        <v>526</v>
      </c>
      <c r="K56" s="573"/>
      <c r="L56" t="s">
        <v>821</v>
      </c>
      <c r="Q56" s="411" t="s">
        <v>651</v>
      </c>
      <c r="R56" s="476" t="s">
        <v>823</v>
      </c>
    </row>
    <row r="57" spans="3:18" ht="12.75">
      <c r="C57" t="s">
        <v>475</v>
      </c>
      <c r="H57" s="411" t="s">
        <v>651</v>
      </c>
      <c r="I57" s="476" t="s">
        <v>892</v>
      </c>
      <c r="K57" s="573"/>
      <c r="L57" t="s">
        <v>663</v>
      </c>
      <c r="Q57" s="411" t="s">
        <v>651</v>
      </c>
      <c r="R57" s="517" t="s">
        <v>643</v>
      </c>
    </row>
    <row r="58" spans="3:18" ht="12.75">
      <c r="C58" t="s">
        <v>1054</v>
      </c>
      <c r="H58" s="411" t="s">
        <v>651</v>
      </c>
      <c r="I58" s="476" t="s">
        <v>1055</v>
      </c>
      <c r="K58" s="573"/>
      <c r="L58" t="s">
        <v>663</v>
      </c>
      <c r="Q58" s="411" t="s">
        <v>667</v>
      </c>
      <c r="R58" s="476" t="s">
        <v>889</v>
      </c>
    </row>
    <row r="59" spans="3:18" ht="12.75">
      <c r="C59" t="s">
        <v>1009</v>
      </c>
      <c r="H59" s="411" t="s">
        <v>279</v>
      </c>
      <c r="I59" s="476" t="s">
        <v>986</v>
      </c>
      <c r="K59" s="573"/>
      <c r="L59" t="s">
        <v>1058</v>
      </c>
      <c r="Q59" s="411" t="s">
        <v>651</v>
      </c>
      <c r="R59" s="517" t="s">
        <v>1059</v>
      </c>
    </row>
    <row r="60" spans="3:18" ht="12.75">
      <c r="C60" t="s">
        <v>981</v>
      </c>
      <c r="H60" s="411" t="s">
        <v>279</v>
      </c>
      <c r="I60" s="476" t="s">
        <v>1010</v>
      </c>
      <c r="K60" s="573"/>
      <c r="L60" t="s">
        <v>1056</v>
      </c>
      <c r="Q60" s="411" t="s">
        <v>651</v>
      </c>
      <c r="R60" s="517" t="s">
        <v>1057</v>
      </c>
    </row>
    <row r="61" spans="3:18" ht="12.75">
      <c r="C61" t="s">
        <v>233</v>
      </c>
      <c r="H61" s="411" t="s">
        <v>291</v>
      </c>
      <c r="I61" s="478" t="s">
        <v>527</v>
      </c>
      <c r="K61" s="573"/>
      <c r="L61" t="s">
        <v>227</v>
      </c>
      <c r="Q61" s="411" t="s">
        <v>4</v>
      </c>
      <c r="R61" s="478" t="s">
        <v>561</v>
      </c>
    </row>
    <row r="62" spans="3:18" ht="12.75">
      <c r="C62" t="s">
        <v>290</v>
      </c>
      <c r="H62" s="411" t="s">
        <v>651</v>
      </c>
      <c r="I62" s="476" t="s">
        <v>528</v>
      </c>
      <c r="K62" s="573"/>
      <c r="L62" t="s">
        <v>227</v>
      </c>
      <c r="Q62" s="411" t="s">
        <v>40</v>
      </c>
      <c r="R62" s="478" t="s">
        <v>562</v>
      </c>
    </row>
    <row r="63" spans="3:18" ht="12.75">
      <c r="C63" s="411" t="s">
        <v>911</v>
      </c>
      <c r="H63" s="411" t="s">
        <v>641</v>
      </c>
      <c r="I63" s="478" t="s">
        <v>552</v>
      </c>
      <c r="K63" s="573"/>
      <c r="L63" t="s">
        <v>608</v>
      </c>
      <c r="Q63" s="411" t="s">
        <v>40</v>
      </c>
      <c r="R63" s="476" t="s">
        <v>529</v>
      </c>
    </row>
    <row r="64" spans="3:18" ht="12.75">
      <c r="C64" t="s">
        <v>280</v>
      </c>
      <c r="H64" s="411" t="s">
        <v>279</v>
      </c>
      <c r="I64" s="476" t="s">
        <v>905</v>
      </c>
      <c r="K64" s="573"/>
      <c r="L64" t="s">
        <v>482</v>
      </c>
      <c r="Q64" s="411" t="s">
        <v>279</v>
      </c>
      <c r="R64" s="476" t="s">
        <v>521</v>
      </c>
    </row>
    <row r="65" spans="3:18" ht="12.75">
      <c r="C65" t="s">
        <v>95</v>
      </c>
      <c r="H65" s="411" t="s">
        <v>667</v>
      </c>
      <c r="I65" s="476" t="s">
        <v>530</v>
      </c>
      <c r="K65" s="573"/>
      <c r="L65" t="s">
        <v>755</v>
      </c>
      <c r="Q65" s="411" t="s">
        <v>651</v>
      </c>
      <c r="R65" s="476" t="s">
        <v>555</v>
      </c>
    </row>
    <row r="66" spans="3:18" ht="12.75">
      <c r="C66" t="s">
        <v>497</v>
      </c>
      <c r="H66" s="411" t="s">
        <v>291</v>
      </c>
      <c r="I66" s="478" t="s">
        <v>531</v>
      </c>
      <c r="K66" s="573"/>
      <c r="L66" t="s">
        <v>822</v>
      </c>
      <c r="Q66" s="411" t="s">
        <v>651</v>
      </c>
      <c r="R66" s="476" t="s">
        <v>823</v>
      </c>
    </row>
    <row r="67" spans="3:18" ht="12.75">
      <c r="C67" t="s">
        <v>615</v>
      </c>
      <c r="H67" s="411" t="s">
        <v>651</v>
      </c>
      <c r="I67" s="476" t="s">
        <v>529</v>
      </c>
      <c r="K67" s="573"/>
      <c r="L67" t="s">
        <v>39</v>
      </c>
      <c r="Q67" s="411" t="s">
        <v>4</v>
      </c>
      <c r="R67" s="478" t="s">
        <v>502</v>
      </c>
    </row>
    <row r="68" spans="3:18" ht="12.75">
      <c r="C68" t="s">
        <v>746</v>
      </c>
      <c r="H68" s="411" t="s">
        <v>4</v>
      </c>
      <c r="I68" s="476" t="s">
        <v>747</v>
      </c>
      <c r="K68" s="573"/>
      <c r="L68" t="s">
        <v>60</v>
      </c>
      <c r="Q68" s="411" t="s">
        <v>4</v>
      </c>
      <c r="R68" s="478" t="s">
        <v>547</v>
      </c>
    </row>
    <row r="69" spans="3:18" ht="12.75">
      <c r="C69" t="s">
        <v>288</v>
      </c>
      <c r="H69" s="411" t="s">
        <v>651</v>
      </c>
      <c r="I69" s="476" t="s">
        <v>532</v>
      </c>
      <c r="K69" s="573"/>
      <c r="L69" t="s">
        <v>83</v>
      </c>
      <c r="Q69" s="411" t="s">
        <v>4</v>
      </c>
      <c r="R69" s="478" t="s">
        <v>545</v>
      </c>
    </row>
    <row r="70" spans="3:18" ht="12.75">
      <c r="C70" t="s">
        <v>109</v>
      </c>
      <c r="H70" s="411" t="s">
        <v>279</v>
      </c>
      <c r="I70" s="478" t="s">
        <v>502</v>
      </c>
      <c r="K70" s="573"/>
      <c r="L70" t="s">
        <v>282</v>
      </c>
      <c r="Q70" s="411" t="s">
        <v>4</v>
      </c>
      <c r="R70" s="478" t="s">
        <v>537</v>
      </c>
    </row>
    <row r="71" spans="3:18" ht="12.75">
      <c r="C71" t="s">
        <v>111</v>
      </c>
      <c r="H71" s="411" t="s">
        <v>279</v>
      </c>
      <c r="I71" s="478" t="s">
        <v>507</v>
      </c>
      <c r="K71" s="573"/>
      <c r="L71" t="s">
        <v>64</v>
      </c>
      <c r="Q71" s="411" t="s">
        <v>651</v>
      </c>
      <c r="R71" s="476" t="s">
        <v>505</v>
      </c>
    </row>
    <row r="72" spans="3:18" ht="12.75">
      <c r="C72" t="s">
        <v>110</v>
      </c>
      <c r="H72" s="411" t="s">
        <v>279</v>
      </c>
      <c r="I72" s="478" t="s">
        <v>504</v>
      </c>
      <c r="K72" s="573"/>
      <c r="L72" t="s">
        <v>281</v>
      </c>
      <c r="Q72" s="411" t="s">
        <v>650</v>
      </c>
      <c r="R72" s="476" t="s">
        <v>502</v>
      </c>
    </row>
    <row r="73" spans="3:18" ht="12.75">
      <c r="C73" t="s">
        <v>109</v>
      </c>
      <c r="H73" s="411" t="s">
        <v>40</v>
      </c>
      <c r="I73" s="478" t="s">
        <v>533</v>
      </c>
      <c r="K73" s="573"/>
      <c r="L73" t="s">
        <v>883</v>
      </c>
      <c r="Q73" s="411" t="s">
        <v>40</v>
      </c>
      <c r="R73" s="476" t="s">
        <v>816</v>
      </c>
    </row>
    <row r="74" spans="3:18" ht="12.75">
      <c r="C74" t="s">
        <v>111</v>
      </c>
      <c r="H74" s="411" t="s">
        <v>40</v>
      </c>
      <c r="I74" s="478" t="s">
        <v>535</v>
      </c>
      <c r="K74" s="573"/>
      <c r="L74" t="s">
        <v>884</v>
      </c>
      <c r="Q74" s="411" t="s">
        <v>40</v>
      </c>
      <c r="R74" s="476" t="s">
        <v>815</v>
      </c>
    </row>
    <row r="75" spans="3:11" ht="12.75">
      <c r="C75" t="s">
        <v>110</v>
      </c>
      <c r="H75" s="411" t="s">
        <v>40</v>
      </c>
      <c r="I75" s="478" t="s">
        <v>534</v>
      </c>
      <c r="K75" s="573"/>
    </row>
    <row r="76" spans="3:11" ht="12.75">
      <c r="C76" t="s">
        <v>584</v>
      </c>
      <c r="H76" s="411" t="s">
        <v>279</v>
      </c>
      <c r="I76" s="476" t="s">
        <v>907</v>
      </c>
      <c r="K76" s="573"/>
    </row>
    <row r="77" spans="3:11" ht="12.75">
      <c r="C77" t="s">
        <v>585</v>
      </c>
      <c r="H77" s="411" t="s">
        <v>279</v>
      </c>
      <c r="I77" s="476" t="s">
        <v>908</v>
      </c>
      <c r="K77" s="287"/>
    </row>
    <row r="80" spans="2:3" ht="12.75">
      <c r="B80" t="s">
        <v>440</v>
      </c>
      <c r="C80" t="s">
        <v>635</v>
      </c>
    </row>
    <row r="82" ht="12.75">
      <c r="C82" t="s">
        <v>699</v>
      </c>
    </row>
    <row r="83" ht="12.75">
      <c r="C83" t="s">
        <v>700</v>
      </c>
    </row>
    <row r="85" ht="12.75">
      <c r="C85" t="s">
        <v>630</v>
      </c>
    </row>
    <row r="86" ht="12.75">
      <c r="C86" t="s">
        <v>499</v>
      </c>
    </row>
    <row r="88" ht="12.75">
      <c r="C88" t="s">
        <v>631</v>
      </c>
    </row>
    <row r="90" ht="12.75">
      <c r="C90" t="s">
        <v>632</v>
      </c>
    </row>
  </sheetData>
  <sheetProtection/>
  <mergeCells count="2">
    <mergeCell ref="A1:S1"/>
    <mergeCell ref="C7:F7"/>
  </mergeCells>
  <hyperlinks>
    <hyperlink ref="I9" location="Match!M60" display="G38"/>
    <hyperlink ref="I13" location="dB!AG1" display="Y1"/>
    <hyperlink ref="I14" location="Math!T33" display="M1"/>
    <hyperlink ref="I15" location="Math!Y38" display="M17"/>
    <hyperlink ref="I16" location="Math!Y46" display="M25"/>
    <hyperlink ref="I17" location="dB!A13" display="A13"/>
    <hyperlink ref="I18" location="dB!D13" display="D13"/>
    <hyperlink ref="I19" location="Math!A25" display="E25"/>
    <hyperlink ref="I20" location="Power!A47" display="A25"/>
    <hyperlink ref="I23" location="Math!X1" display="M1"/>
    <hyperlink ref="I24" location="Math!X1" display="M9"/>
    <hyperlink ref="I25" location="Match!D112" display="D112"/>
    <hyperlink ref="I26" location="Match!G112" display="G112"/>
    <hyperlink ref="I27" location="Match!A112" display="A112"/>
    <hyperlink ref="I28" location="Match!J112" display="J112"/>
    <hyperlink ref="I33" location="dB!N65" display="G45"/>
    <hyperlink ref="I34" location="Power!D1" display="G9"/>
    <hyperlink ref="I35" location="Math!A1" display="E9"/>
    <hyperlink ref="I38" location="Math!X53" display="M33"/>
    <hyperlink ref="I39" location="dB!L47" display="A25"/>
    <hyperlink ref="I40" location="dB!B47" display="D25"/>
    <hyperlink ref="I41" location="dB!M47" display="G25"/>
    <hyperlink ref="I42" location="dB!M1" display="J13"/>
    <hyperlink ref="I43" location="Time!S33" display="L13"/>
    <hyperlink ref="I44" location="Math!A54" display="E33"/>
    <hyperlink ref="I45" location="Time!S33" display="L1"/>
    <hyperlink ref="I46" location="Time!L49" display="D25"/>
    <hyperlink ref="I47" location="Time!L50" display="A30"/>
    <hyperlink ref="I48" location="Time!A1" display="A1"/>
    <hyperlink ref="I49" location="Math!M41" display="E17"/>
    <hyperlink ref="I52" location="Match!M72" display="G48"/>
    <hyperlink ref="I53" location="Match!K71" display="A48"/>
    <hyperlink ref="I56" location="Math!A54" display="A33"/>
    <hyperlink ref="I57" location="Time!A85" display="A85"/>
    <hyperlink ref="I61" location="Math!A1" display="E1"/>
    <hyperlink ref="I62" location="Time!O70" display="H37"/>
    <hyperlink ref="I64" location="Analogue!V1" display="V1"/>
    <hyperlink ref="I65" location="Match!P57" display="J38"/>
    <hyperlink ref="I66" location="Math!Q56" display="I37"/>
    <hyperlink ref="I67" location="Time!W33" display="P1"/>
    <hyperlink ref="I69" location="Time!M71" display="A37"/>
    <hyperlink ref="I70" location="Analogue!A1" display="A1"/>
    <hyperlink ref="I71" location="Analogue!A44" display="A25"/>
    <hyperlink ref="I72" location="Analogue!A1" display="A13"/>
    <hyperlink ref="I73" location="Power!U1" display="M1"/>
    <hyperlink ref="I74" location="Power!U45" display="M25"/>
    <hyperlink ref="I75" location="Power!U1" display="M13"/>
    <hyperlink ref="I76" location="Analogue!D34" display="D34"/>
    <hyperlink ref="I77" location="Analogue!G34" display="G34"/>
    <hyperlink ref="R9" location="Math!A44" display="A25"/>
    <hyperlink ref="R10" location="dB!Q58" display="J37"/>
    <hyperlink ref="R11" location="Power!R1" display="J1"/>
    <hyperlink ref="R12" location="Math!A1" display="A1"/>
    <hyperlink ref="R13" location="Time!A1" display="H25"/>
    <hyperlink ref="R14" location="dB!Y1" display="M1"/>
    <hyperlink ref="R15" location="Match!A1" display="A1"/>
    <hyperlink ref="R16" location="Analogue!H1" display="H1"/>
    <hyperlink ref="R17" location="dB!A70" display="D50"/>
    <hyperlink ref="R18" location="Power!A1" display="D14"/>
    <hyperlink ref="R19" location="dB!A69" display="A50"/>
    <hyperlink ref="R20" location="Power!A1" display="A14"/>
    <hyperlink ref="R21" location="dB!A58" display="D37"/>
    <hyperlink ref="R22" location="Power!A1" display="D1"/>
    <hyperlink ref="R23" location="dB!A59" display="A37"/>
    <hyperlink ref="R24" location="Power!A1" display="A1"/>
    <hyperlink ref="R25" location="dB!A56" display="G37"/>
    <hyperlink ref="R26" location="Power!A1" display="G1"/>
    <hyperlink ref="R27" location="Time!S34" display="L19"/>
    <hyperlink ref="R28" location="Match!K59" display="A38"/>
    <hyperlink ref="R29" location="Match!K59" display="D38"/>
    <hyperlink ref="R32" location="Analogue!A1" display="D1"/>
    <hyperlink ref="R33" location="dB!A81" display="A61"/>
    <hyperlink ref="R34" location="Time!A1" display="H1"/>
    <hyperlink ref="R35" location="dB!T61" display="M37"/>
    <hyperlink ref="R36" location="Match!T34" display="M1"/>
    <hyperlink ref="R37" location="dB!Q69" display="J49"/>
    <hyperlink ref="R38" location="Power!R1" display="J13"/>
    <hyperlink ref="R39" location="Math!P1" display="I1"/>
    <hyperlink ref="R40" location="Analogue!N1" display="N1"/>
    <hyperlink ref="R42" location="Time!M70" display="D37"/>
    <hyperlink ref="R44" location="Time!W34" display="P13"/>
    <hyperlink ref="R45" location="Time!W46" display="P25"/>
    <hyperlink ref="R47" location="Time!A1" display="D1"/>
    <hyperlink ref="R48" location="Time!N33" display="H13"/>
    <hyperlink ref="R50" location="dB!Z41" display="M19"/>
    <hyperlink ref="R51" location="Match!K44" display="A19"/>
    <hyperlink ref="R52" location="Math!A36" display="A17"/>
    <hyperlink ref="R55" location="Match!P112" display="P112"/>
    <hyperlink ref="R61" location="dB!A73" display="G53"/>
    <hyperlink ref="R62" location="Power!A35" display="G17"/>
    <hyperlink ref="R64" location="Analogue!T33" display="L1"/>
    <hyperlink ref="R67" location="dB!A1" display="A1"/>
    <hyperlink ref="R68" location="dB!A1" display="G1"/>
    <hyperlink ref="R69" location="dB!A1" display="D1"/>
    <hyperlink ref="R70" location="dB!M1" display="J1"/>
    <hyperlink ref="R71" location="Time!A1" display="D13"/>
    <hyperlink ref="R72" location="Windings!A1" display="A1"/>
    <hyperlink ref="I63" location="Math!V44" display="M37"/>
    <hyperlink ref="I37" location="Time!T37" display="T37"/>
    <hyperlink ref="R53" location="Windings!A1" display="E14"/>
    <hyperlink ref="I10" location="Windings!A44" display="A14"/>
    <hyperlink ref="R57" location="Time!P37" display="P37"/>
    <hyperlink ref="R46" location="Windings!A24" display="A24"/>
    <hyperlink ref="I68" location="dB!AB62" display="Q37"/>
    <hyperlink ref="I36" location="Windings!A44" display="A14"/>
    <hyperlink ref="R65" location="Time!W34" display="P13"/>
    <hyperlink ref="I54" location="Match!M88" display="G62"/>
    <hyperlink ref="I55" location="Match!K87" display="A62"/>
    <hyperlink ref="R30" location="Power!A36" display="A36"/>
    <hyperlink ref="R31" location="Power!I36" display="I36"/>
    <hyperlink ref="R66" location="Time!AD34" display="T13"/>
    <hyperlink ref="I8" location="Analogue!AB1" display="AB1"/>
    <hyperlink ref="R43" location="Math!S19" display="S19"/>
    <hyperlink ref="I32" location="Math!S10" display="S10"/>
    <hyperlink ref="R49" location="Math!S1" display="S1"/>
    <hyperlink ref="I11" location="Math!V19" display="V19"/>
    <hyperlink ref="I12" location="Math!S10" display="S10"/>
    <hyperlink ref="I50" location="Math!V10" display="V10"/>
    <hyperlink ref="I51" location="Math!V19" display="V19"/>
    <hyperlink ref="R7" location="Math!S28" display="S28"/>
    <hyperlink ref="R8" location="Math!S37" display="S37"/>
    <hyperlink ref="I7" location="Power!E25" display="E25"/>
    <hyperlink ref="R63" location="Power!P1" display="P1"/>
    <hyperlink ref="R56" location="Time!T13" display="T13"/>
    <hyperlink ref="R74" location="Power!A36" display="A36"/>
    <hyperlink ref="R73" location="Power!I36" display="I36"/>
    <hyperlink ref="R41" location="Analogue!V1" display="V1"/>
    <hyperlink ref="I29" location="Math!A45" display="A45"/>
    <hyperlink ref="I30" location="Math!A54" display="A54"/>
    <hyperlink ref="I31" location="Math!E45" display="E45"/>
    <hyperlink ref="I60" location="Analogue!N34" display="N34"/>
    <hyperlink ref="R54" location="Analogue!A34" display="A34"/>
    <hyperlink ref="I59" location="Analogue!J34" display="J34"/>
    <hyperlink ref="I22" location="Time!P71" display="P71"/>
    <hyperlink ref="I21" location="Time!A73" display="A73 - L73"/>
    <hyperlink ref="I58" location="Time!P85" display="P85"/>
    <hyperlink ref="R58" location="Match!M112" display="M112"/>
    <hyperlink ref="R60" location="Time!P45" display="P45"/>
    <hyperlink ref="R59" location="Time!P54" display="P5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3"/>
  <sheetViews>
    <sheetView zoomScalePageLayoutView="0" workbookViewId="0" topLeftCell="A1">
      <selection activeCell="AF33" sqref="AF33"/>
    </sheetView>
  </sheetViews>
  <sheetFormatPr defaultColWidth="9.140625" defaultRowHeight="12.75"/>
  <cols>
    <col min="1" max="1" width="12.8515625" style="0" bestFit="1" customWidth="1"/>
    <col min="2" max="2" width="8.28125" style="0" customWidth="1"/>
    <col min="3" max="3" width="18.421875" style="0" customWidth="1"/>
    <col min="4" max="4" width="12.7109375" style="0" customWidth="1"/>
    <col min="5" max="5" width="11.57421875" style="0" customWidth="1"/>
    <col min="6" max="6" width="10.00390625" style="0" customWidth="1"/>
    <col min="7" max="7" width="12.7109375" style="0" bestFit="1" customWidth="1"/>
    <col min="8" max="8" width="11.7109375" style="0" customWidth="1"/>
    <col min="9" max="9" width="14.00390625" style="0" customWidth="1"/>
    <col min="10" max="10" width="8.28125" style="0" customWidth="1"/>
    <col min="11" max="11" width="9.28125" style="0" customWidth="1"/>
    <col min="12" max="12" width="9.421875" style="0" customWidth="1"/>
    <col min="13" max="13" width="8.7109375" style="0" customWidth="1"/>
    <col min="14" max="14" width="11.421875" style="0" customWidth="1"/>
    <col min="15" max="15" width="13.421875" style="0" customWidth="1"/>
    <col min="16" max="16" width="12.00390625" style="0" customWidth="1"/>
    <col min="17" max="17" width="9.8515625" style="0" customWidth="1"/>
    <col min="18" max="18" width="16.7109375" style="0" customWidth="1"/>
    <col min="19" max="19" width="13.00390625" style="0" customWidth="1"/>
    <col min="20" max="20" width="11.7109375" style="0" customWidth="1"/>
    <col min="21" max="21" width="9.8515625" style="0" customWidth="1"/>
    <col min="22" max="22" width="20.00390625" style="0" customWidth="1"/>
    <col min="23" max="25" width="9.8515625" style="0" customWidth="1"/>
    <col min="26" max="26" width="17.421875" style="0" customWidth="1"/>
    <col min="27" max="27" width="10.57421875" style="0" customWidth="1"/>
    <col min="28" max="28" width="2.140625" style="0" customWidth="1"/>
    <col min="29" max="30" width="9.8515625" style="0" customWidth="1"/>
    <col min="31" max="31" width="16.140625" style="0" customWidth="1"/>
    <col min="32" max="32" width="11.8515625" style="0" customWidth="1"/>
    <col min="33" max="33" width="7.7109375" style="0" customWidth="1"/>
    <col min="34" max="34" width="17.421875" style="0" customWidth="1"/>
    <col min="35" max="35" width="9.00390625" style="0" customWidth="1"/>
    <col min="36" max="36" width="10.00390625" style="0" customWidth="1"/>
    <col min="37" max="37" width="23.57421875" style="0" customWidth="1"/>
    <col min="38" max="38" width="12.28125" style="0" bestFit="1" customWidth="1"/>
  </cols>
  <sheetData>
    <row r="1" spans="1:39" ht="12.75">
      <c r="A1" s="851" t="s">
        <v>109</v>
      </c>
      <c r="B1" s="851"/>
      <c r="C1" s="852"/>
      <c r="D1" s="873" t="s">
        <v>67</v>
      </c>
      <c r="E1" s="850"/>
      <c r="F1" s="875"/>
      <c r="G1" s="856" t="s">
        <v>71</v>
      </c>
      <c r="H1" s="850"/>
      <c r="I1" s="850"/>
      <c r="J1" s="473"/>
      <c r="K1" s="589"/>
      <c r="L1" s="589"/>
      <c r="M1" s="589"/>
      <c r="N1" s="888" t="s">
        <v>1011</v>
      </c>
      <c r="O1" s="889"/>
      <c r="P1" s="889"/>
      <c r="Q1" s="890"/>
      <c r="R1" s="888" t="s">
        <v>1015</v>
      </c>
      <c r="S1" s="889"/>
      <c r="T1" s="889"/>
      <c r="U1" s="890"/>
      <c r="V1" s="888" t="s">
        <v>1016</v>
      </c>
      <c r="W1" s="889"/>
      <c r="X1" s="889"/>
      <c r="Y1" s="890"/>
      <c r="Z1" s="888" t="s">
        <v>1022</v>
      </c>
      <c r="AA1" s="889"/>
      <c r="AB1" s="889"/>
      <c r="AC1" s="889"/>
      <c r="AD1" s="890"/>
      <c r="AE1" s="54"/>
      <c r="AF1" s="838" t="s">
        <v>912</v>
      </c>
      <c r="AG1" s="838"/>
      <c r="AH1" s="838"/>
      <c r="AI1" s="54"/>
      <c r="AJ1" s="54"/>
      <c r="AK1" s="861" t="s">
        <v>874</v>
      </c>
      <c r="AL1" s="862"/>
      <c r="AM1" s="863"/>
    </row>
    <row r="2" spans="1:39" ht="13.5" thickBot="1">
      <c r="A2" s="23"/>
      <c r="B2" s="23"/>
      <c r="C2" s="23"/>
      <c r="D2" s="30"/>
      <c r="E2" s="31"/>
      <c r="F2" s="32"/>
      <c r="G2" s="470"/>
      <c r="H2" s="473"/>
      <c r="I2" s="473"/>
      <c r="J2" s="589"/>
      <c r="K2" s="589"/>
      <c r="L2" s="589"/>
      <c r="M2" s="589"/>
      <c r="N2" s="167"/>
      <c r="O2" s="827"/>
      <c r="P2" s="827"/>
      <c r="Q2" s="168"/>
      <c r="R2" s="167"/>
      <c r="S2" s="827"/>
      <c r="T2" s="827"/>
      <c r="U2" s="168"/>
      <c r="V2" s="167"/>
      <c r="W2" s="827"/>
      <c r="X2" s="827"/>
      <c r="Y2" s="168"/>
      <c r="Z2" s="167"/>
      <c r="AA2" s="13"/>
      <c r="AB2" s="13"/>
      <c r="AC2" s="13"/>
      <c r="AD2" s="168"/>
      <c r="AE2" s="16"/>
      <c r="AF2" s="16"/>
      <c r="AG2" s="16"/>
      <c r="AH2" s="16"/>
      <c r="AI2" s="16"/>
      <c r="AJ2" s="16"/>
      <c r="AK2" s="425"/>
      <c r="AL2" s="371"/>
      <c r="AM2" s="29"/>
    </row>
    <row r="3" spans="1:39" ht="12.75">
      <c r="A3" s="23"/>
      <c r="B3" s="23"/>
      <c r="C3" s="23"/>
      <c r="D3" s="321" t="s">
        <v>332</v>
      </c>
      <c r="E3" s="118">
        <v>1</v>
      </c>
      <c r="F3" s="165" t="s">
        <v>98</v>
      </c>
      <c r="G3" s="321" t="s">
        <v>332</v>
      </c>
      <c r="H3" s="118">
        <v>1</v>
      </c>
      <c r="I3" s="75" t="s">
        <v>98</v>
      </c>
      <c r="J3" s="589"/>
      <c r="K3" s="589"/>
      <c r="L3" s="589"/>
      <c r="M3" s="589"/>
      <c r="N3" s="167"/>
      <c r="O3" s="13"/>
      <c r="P3" s="13"/>
      <c r="Q3" s="168"/>
      <c r="R3" s="167"/>
      <c r="S3" s="13"/>
      <c r="T3" s="13"/>
      <c r="U3" s="168"/>
      <c r="V3" s="167"/>
      <c r="W3" s="13"/>
      <c r="X3" s="13"/>
      <c r="Y3" s="168"/>
      <c r="Z3" s="167"/>
      <c r="AA3" s="13"/>
      <c r="AB3" s="13"/>
      <c r="AC3" s="13"/>
      <c r="AD3" s="168"/>
      <c r="AE3" s="323" t="s">
        <v>410</v>
      </c>
      <c r="AF3" s="118" t="s">
        <v>611</v>
      </c>
      <c r="AG3" s="16"/>
      <c r="AH3" s="16"/>
      <c r="AI3" s="16"/>
      <c r="AJ3" s="16"/>
      <c r="AK3" s="608" t="s">
        <v>824</v>
      </c>
      <c r="AL3" s="41"/>
      <c r="AM3" s="420"/>
    </row>
    <row r="4" spans="1:39" ht="13.5" thickBot="1">
      <c r="A4" s="23"/>
      <c r="B4" s="23"/>
      <c r="C4" s="23"/>
      <c r="D4" s="33"/>
      <c r="E4" s="142">
        <v>15000</v>
      </c>
      <c r="F4" s="166" t="s">
        <v>22</v>
      </c>
      <c r="G4" s="321" t="s">
        <v>333</v>
      </c>
      <c r="H4" s="142">
        <f>E9</f>
        <v>3750</v>
      </c>
      <c r="I4" s="39" t="s">
        <v>22</v>
      </c>
      <c r="J4" s="589"/>
      <c r="K4" s="589"/>
      <c r="L4" s="589"/>
      <c r="M4" s="589"/>
      <c r="N4" s="167"/>
      <c r="O4" s="13"/>
      <c r="P4" s="13"/>
      <c r="Q4" s="168"/>
      <c r="R4" s="167"/>
      <c r="S4" s="13"/>
      <c r="T4" s="13"/>
      <c r="U4" s="168"/>
      <c r="V4" s="167"/>
      <c r="W4" s="13"/>
      <c r="X4" s="13"/>
      <c r="Y4" s="168"/>
      <c r="Z4" s="167"/>
      <c r="AA4" s="13"/>
      <c r="AB4" s="13"/>
      <c r="AC4" s="13"/>
      <c r="AD4" s="168"/>
      <c r="AE4" s="323" t="s">
        <v>411</v>
      </c>
      <c r="AF4" s="141">
        <v>5.3</v>
      </c>
      <c r="AG4" s="16" t="s">
        <v>70</v>
      </c>
      <c r="AH4" s="16"/>
      <c r="AI4" s="81" t="s">
        <v>913</v>
      </c>
      <c r="AJ4" s="16"/>
      <c r="AK4" s="425"/>
      <c r="AL4" s="371"/>
      <c r="AM4" s="29"/>
    </row>
    <row r="5" spans="1:39" ht="13.5" thickBot="1">
      <c r="A5" s="334"/>
      <c r="B5" s="118">
        <v>2.2</v>
      </c>
      <c r="C5" s="21" t="s">
        <v>3</v>
      </c>
      <c r="D5" s="33"/>
      <c r="E5" s="119">
        <v>5000</v>
      </c>
      <c r="F5" s="32" t="s">
        <v>22</v>
      </c>
      <c r="G5" s="321" t="s">
        <v>334</v>
      </c>
      <c r="H5" s="141">
        <v>900</v>
      </c>
      <c r="I5" s="31" t="s">
        <v>22</v>
      </c>
      <c r="J5" s="473"/>
      <c r="K5" s="589"/>
      <c r="L5" s="589"/>
      <c r="M5" s="589"/>
      <c r="N5" s="869" t="s">
        <v>343</v>
      </c>
      <c r="O5" s="892"/>
      <c r="P5" s="118">
        <v>83000</v>
      </c>
      <c r="Q5" s="168" t="s">
        <v>22</v>
      </c>
      <c r="R5" s="877" t="s">
        <v>1070</v>
      </c>
      <c r="S5" s="878"/>
      <c r="T5" s="118">
        <f>P15</f>
        <v>49.39525969962453</v>
      </c>
      <c r="U5" s="168" t="s">
        <v>3</v>
      </c>
      <c r="V5" s="895" t="s">
        <v>344</v>
      </c>
      <c r="W5" s="892"/>
      <c r="X5" s="118">
        <v>1500</v>
      </c>
      <c r="Y5" s="168" t="s">
        <v>22</v>
      </c>
      <c r="Z5" s="895" t="s">
        <v>1072</v>
      </c>
      <c r="AA5" s="896"/>
      <c r="AB5" s="897"/>
      <c r="AC5" s="118">
        <f>X16</f>
        <v>0.6105527638190955</v>
      </c>
      <c r="AD5" s="168" t="s">
        <v>3</v>
      </c>
      <c r="AE5" s="356" t="s">
        <v>412</v>
      </c>
      <c r="AF5" s="141">
        <v>0.015</v>
      </c>
      <c r="AG5" s="17" t="s">
        <v>34</v>
      </c>
      <c r="AH5" s="16"/>
      <c r="AI5" s="16"/>
      <c r="AJ5" s="16"/>
      <c r="AK5" s="222" t="s">
        <v>825</v>
      </c>
      <c r="AL5" s="118">
        <v>330000</v>
      </c>
      <c r="AM5" s="421" t="s">
        <v>22</v>
      </c>
    </row>
    <row r="6" spans="1:39" ht="13.5" thickBot="1">
      <c r="A6" s="334"/>
      <c r="B6" s="119">
        <v>2.2</v>
      </c>
      <c r="C6" s="21" t="s">
        <v>22</v>
      </c>
      <c r="D6" s="33"/>
      <c r="E6" s="35"/>
      <c r="F6" s="32"/>
      <c r="G6" s="321" t="s">
        <v>894</v>
      </c>
      <c r="H6" s="119">
        <v>65</v>
      </c>
      <c r="I6" s="31" t="s">
        <v>3</v>
      </c>
      <c r="J6" s="589"/>
      <c r="K6" s="589"/>
      <c r="L6" s="589"/>
      <c r="M6" s="589"/>
      <c r="N6" s="869" t="s">
        <v>344</v>
      </c>
      <c r="O6" s="892"/>
      <c r="P6" s="141">
        <v>4700</v>
      </c>
      <c r="Q6" s="168" t="s">
        <v>22</v>
      </c>
      <c r="R6" s="877" t="s">
        <v>1071</v>
      </c>
      <c r="S6" s="878"/>
      <c r="T6" s="141">
        <f>P20</f>
        <v>45.42834793491865</v>
      </c>
      <c r="U6" s="168" t="s">
        <v>3</v>
      </c>
      <c r="V6" s="895" t="s">
        <v>345</v>
      </c>
      <c r="W6" s="892"/>
      <c r="X6" s="141">
        <v>10000</v>
      </c>
      <c r="Y6" s="168" t="s">
        <v>22</v>
      </c>
      <c r="Z6" s="895" t="s">
        <v>1073</v>
      </c>
      <c r="AA6" s="896"/>
      <c r="AB6" s="897"/>
      <c r="AC6" s="141">
        <f>X22</f>
        <v>0.2185929648241206</v>
      </c>
      <c r="AD6" s="168" t="s">
        <v>3</v>
      </c>
      <c r="AE6" s="356" t="s">
        <v>413</v>
      </c>
      <c r="AF6" s="141">
        <v>3.4</v>
      </c>
      <c r="AG6" s="17" t="s">
        <v>70</v>
      </c>
      <c r="AH6" s="356" t="s">
        <v>416</v>
      </c>
      <c r="AI6" s="118">
        <v>3.8</v>
      </c>
      <c r="AJ6" s="17" t="s">
        <v>70</v>
      </c>
      <c r="AK6" s="183" t="s">
        <v>826</v>
      </c>
      <c r="AL6" s="141">
        <v>1</v>
      </c>
      <c r="AM6" s="22" t="s">
        <v>98</v>
      </c>
    </row>
    <row r="7" spans="1:39" ht="13.5" thickBot="1">
      <c r="A7" s="182"/>
      <c r="B7" s="25"/>
      <c r="C7" s="21"/>
      <c r="D7" s="876" t="s">
        <v>68</v>
      </c>
      <c r="E7" s="848"/>
      <c r="F7" s="849"/>
      <c r="G7" s="33"/>
      <c r="H7" s="34"/>
      <c r="I7" s="34"/>
      <c r="J7" s="589"/>
      <c r="K7" s="589"/>
      <c r="L7" s="589"/>
      <c r="M7" s="589"/>
      <c r="N7" s="869" t="s">
        <v>345</v>
      </c>
      <c r="O7" s="892"/>
      <c r="P7" s="141">
        <v>68000</v>
      </c>
      <c r="Q7" s="168" t="s">
        <v>22</v>
      </c>
      <c r="R7" s="877" t="s">
        <v>1017</v>
      </c>
      <c r="S7" s="878"/>
      <c r="T7" s="141">
        <v>2.5</v>
      </c>
      <c r="U7" s="168" t="s">
        <v>3</v>
      </c>
      <c r="V7" s="895" t="s">
        <v>1077</v>
      </c>
      <c r="W7" s="892"/>
      <c r="X7" s="141">
        <v>16000</v>
      </c>
      <c r="Y7" s="168" t="s">
        <v>22</v>
      </c>
      <c r="Z7" s="895" t="s">
        <v>1017</v>
      </c>
      <c r="AA7" s="896"/>
      <c r="AB7" s="897"/>
      <c r="AC7" s="141">
        <v>2.5</v>
      </c>
      <c r="AD7" s="168" t="s">
        <v>3</v>
      </c>
      <c r="AE7" s="323" t="s">
        <v>414</v>
      </c>
      <c r="AF7" s="119">
        <v>1.5</v>
      </c>
      <c r="AG7" s="16" t="s">
        <v>22</v>
      </c>
      <c r="AH7" s="356" t="s">
        <v>417</v>
      </c>
      <c r="AI7" s="119">
        <v>3.1</v>
      </c>
      <c r="AJ7" s="17" t="s">
        <v>70</v>
      </c>
      <c r="AK7" s="222" t="s">
        <v>329</v>
      </c>
      <c r="AL7" s="141">
        <v>1</v>
      </c>
      <c r="AM7" s="82" t="s">
        <v>48</v>
      </c>
    </row>
    <row r="8" spans="1:39" ht="12.75">
      <c r="A8" s="854" t="s">
        <v>399</v>
      </c>
      <c r="B8" s="854"/>
      <c r="C8" s="855"/>
      <c r="D8" s="33"/>
      <c r="E8" s="34"/>
      <c r="F8" s="32"/>
      <c r="G8" s="876" t="s">
        <v>895</v>
      </c>
      <c r="H8" s="857"/>
      <c r="I8" s="857"/>
      <c r="J8" s="589"/>
      <c r="K8" s="589"/>
      <c r="L8" s="589"/>
      <c r="M8" s="589"/>
      <c r="N8" s="895" t="s">
        <v>1012</v>
      </c>
      <c r="O8" s="892"/>
      <c r="P8" s="141">
        <v>2.5</v>
      </c>
      <c r="Q8" s="168" t="s">
        <v>3</v>
      </c>
      <c r="R8" s="881" t="s">
        <v>1061</v>
      </c>
      <c r="S8" s="878"/>
      <c r="T8" s="746">
        <f>P22</f>
        <v>0.5650031289111389</v>
      </c>
      <c r="U8" s="168" t="s">
        <v>996</v>
      </c>
      <c r="V8" s="895" t="s">
        <v>1017</v>
      </c>
      <c r="W8" s="892"/>
      <c r="X8" s="141">
        <v>2.5</v>
      </c>
      <c r="Y8" s="168" t="s">
        <v>3</v>
      </c>
      <c r="Z8" s="895" t="s">
        <v>1037</v>
      </c>
      <c r="AA8" s="896"/>
      <c r="AB8" s="897"/>
      <c r="AC8" s="141">
        <f>X24</f>
        <v>0.14258793969849246</v>
      </c>
      <c r="AD8" s="168" t="s">
        <v>1023</v>
      </c>
      <c r="AE8" s="323" t="s">
        <v>102</v>
      </c>
      <c r="AF8" s="80">
        <f>(AF4-AF6)/AF5</f>
        <v>126.66666666666667</v>
      </c>
      <c r="AG8" s="16" t="s">
        <v>22</v>
      </c>
      <c r="AH8" s="16"/>
      <c r="AI8" s="16"/>
      <c r="AJ8" s="16"/>
      <c r="AK8" s="222" t="s">
        <v>330</v>
      </c>
      <c r="AL8" s="141">
        <v>-6</v>
      </c>
      <c r="AM8" s="22"/>
    </row>
    <row r="9" spans="1:39" ht="13.5" thickBot="1">
      <c r="A9" s="181"/>
      <c r="B9" s="21"/>
      <c r="C9" s="21"/>
      <c r="D9" s="474" t="s">
        <v>145</v>
      </c>
      <c r="E9" s="76">
        <f>1/(1/E4+1/E5)</f>
        <v>3750</v>
      </c>
      <c r="F9" s="166" t="s">
        <v>22</v>
      </c>
      <c r="G9" s="33"/>
      <c r="H9" s="34"/>
      <c r="I9" s="34"/>
      <c r="J9" s="589"/>
      <c r="K9" s="589"/>
      <c r="L9" s="589"/>
      <c r="M9" s="589"/>
      <c r="N9" s="895" t="s">
        <v>998</v>
      </c>
      <c r="O9" s="892"/>
      <c r="P9" s="141">
        <v>3.5</v>
      </c>
      <c r="Q9" s="168" t="s">
        <v>3</v>
      </c>
      <c r="R9" s="877" t="s">
        <v>998</v>
      </c>
      <c r="S9" s="878"/>
      <c r="T9" s="141">
        <v>3.5</v>
      </c>
      <c r="U9" s="168" t="s">
        <v>3</v>
      </c>
      <c r="V9" s="891" t="s">
        <v>1018</v>
      </c>
      <c r="W9" s="892"/>
      <c r="X9" s="141">
        <v>3.5</v>
      </c>
      <c r="Y9" s="168" t="s">
        <v>3</v>
      </c>
      <c r="Z9" s="891" t="s">
        <v>1018</v>
      </c>
      <c r="AA9" s="893"/>
      <c r="AB9" s="894"/>
      <c r="AC9" s="141">
        <v>3.5</v>
      </c>
      <c r="AD9" s="168" t="s">
        <v>3</v>
      </c>
      <c r="AE9" s="323" t="s">
        <v>103</v>
      </c>
      <c r="AF9" s="80">
        <f>AF8-AF7</f>
        <v>125.16666666666667</v>
      </c>
      <c r="AG9" s="16" t="s">
        <v>22</v>
      </c>
      <c r="AH9" s="16"/>
      <c r="AI9" s="16"/>
      <c r="AJ9" s="16"/>
      <c r="AK9" s="183" t="s">
        <v>827</v>
      </c>
      <c r="AL9" s="119">
        <v>10</v>
      </c>
      <c r="AM9" s="22" t="s">
        <v>98</v>
      </c>
    </row>
    <row r="10" spans="1:39" ht="13.5" thickBot="1">
      <c r="A10" s="181" t="s">
        <v>228</v>
      </c>
      <c r="B10" s="41">
        <f>B5/B6</f>
        <v>1</v>
      </c>
      <c r="C10" s="21" t="s">
        <v>34</v>
      </c>
      <c r="D10" s="474" t="s">
        <v>297</v>
      </c>
      <c r="E10" s="76">
        <f>1/(1/(E4+(E4*E3/100))+1/(E5+(E5*E3/100)))</f>
        <v>3787.5000000000005</v>
      </c>
      <c r="F10" s="166" t="s">
        <v>22</v>
      </c>
      <c r="G10" s="474" t="s">
        <v>342</v>
      </c>
      <c r="H10" s="76">
        <f>H6/(H4+H5)*H5</f>
        <v>12.580645161290324</v>
      </c>
      <c r="I10" s="39" t="s">
        <v>3</v>
      </c>
      <c r="J10" s="589"/>
      <c r="K10" s="589"/>
      <c r="L10" s="589"/>
      <c r="M10" s="589"/>
      <c r="N10" s="895" t="s">
        <v>999</v>
      </c>
      <c r="O10" s="892"/>
      <c r="P10" s="119">
        <v>0.25</v>
      </c>
      <c r="Q10" s="168" t="s">
        <v>3</v>
      </c>
      <c r="R10" s="877" t="s">
        <v>999</v>
      </c>
      <c r="S10" s="878"/>
      <c r="T10" s="119">
        <v>0.25</v>
      </c>
      <c r="U10" s="168" t="s">
        <v>3</v>
      </c>
      <c r="V10" s="891" t="s">
        <v>1019</v>
      </c>
      <c r="W10" s="892"/>
      <c r="X10" s="119">
        <v>0.25</v>
      </c>
      <c r="Y10" s="168" t="s">
        <v>3</v>
      </c>
      <c r="Z10" s="891" t="s">
        <v>1019</v>
      </c>
      <c r="AA10" s="893"/>
      <c r="AB10" s="894"/>
      <c r="AC10" s="119">
        <v>0.25</v>
      </c>
      <c r="AD10" s="168" t="s">
        <v>3</v>
      </c>
      <c r="AE10" s="16"/>
      <c r="AF10" s="16"/>
      <c r="AG10" s="16"/>
      <c r="AH10" s="16"/>
      <c r="AI10" s="16"/>
      <c r="AJ10" s="16"/>
      <c r="AK10" s="20"/>
      <c r="AL10" s="21"/>
      <c r="AM10" s="22"/>
    </row>
    <row r="11" spans="1:39" ht="13.5" customHeight="1" thickBot="1">
      <c r="A11" s="21"/>
      <c r="B11" s="21"/>
      <c r="C11" s="21"/>
      <c r="D11" s="474" t="s">
        <v>298</v>
      </c>
      <c r="E11" s="76">
        <f>1/(1/(E4-(E4*E3/100))+1/(E5-(E5*E3/100)))</f>
        <v>3712.5000000000005</v>
      </c>
      <c r="F11" s="32" t="s">
        <v>22</v>
      </c>
      <c r="G11" s="474" t="s">
        <v>297</v>
      </c>
      <c r="H11" s="76">
        <f>H6/(H4-(H4*H3/100)+H5+(H5*H3/100))*(H5+(H5*H3/100))</f>
        <v>12.784810126582277</v>
      </c>
      <c r="I11" s="31" t="s">
        <v>70</v>
      </c>
      <c r="J11" s="589"/>
      <c r="K11" s="589"/>
      <c r="L11" s="589"/>
      <c r="M11" s="589"/>
      <c r="N11" s="167"/>
      <c r="O11" s="13"/>
      <c r="P11" s="13"/>
      <c r="Q11" s="168"/>
      <c r="R11" s="13"/>
      <c r="S11" s="13"/>
      <c r="T11" s="13"/>
      <c r="U11" s="13"/>
      <c r="V11" s="167"/>
      <c r="W11" s="13"/>
      <c r="X11" s="742"/>
      <c r="Y11" s="168"/>
      <c r="Z11" s="167"/>
      <c r="AA11" s="13"/>
      <c r="AB11" s="13"/>
      <c r="AC11" s="13"/>
      <c r="AD11" s="168"/>
      <c r="AE11" s="81" t="s">
        <v>81</v>
      </c>
      <c r="AF11" s="16"/>
      <c r="AG11" s="16"/>
      <c r="AH11" s="81" t="s">
        <v>81</v>
      </c>
      <c r="AI11" s="16"/>
      <c r="AJ11" s="16"/>
      <c r="AK11" s="222" t="s">
        <v>316</v>
      </c>
      <c r="AL11" s="24" t="s">
        <v>828</v>
      </c>
      <c r="AM11" s="423"/>
    </row>
    <row r="12" spans="1:39" ht="13.5" thickBot="1">
      <c r="A12" s="27"/>
      <c r="B12" s="27"/>
      <c r="C12" s="27"/>
      <c r="D12" s="36"/>
      <c r="E12" s="37"/>
      <c r="F12" s="38"/>
      <c r="G12" s="587" t="s">
        <v>298</v>
      </c>
      <c r="H12" s="76">
        <f>H6/(H4+(H4*H3/100)+H5-(H5*H3/100))*(H5-(H5*H3/100))</f>
        <v>12.378967617826225</v>
      </c>
      <c r="I12" s="31" t="s">
        <v>70</v>
      </c>
      <c r="J12" s="473"/>
      <c r="K12" s="589"/>
      <c r="L12" s="589"/>
      <c r="M12" s="589"/>
      <c r="N12" s="869" t="s">
        <v>1068</v>
      </c>
      <c r="O12" s="892"/>
      <c r="P12" s="13"/>
      <c r="Q12" s="168"/>
      <c r="R12" s="725" t="s">
        <v>997</v>
      </c>
      <c r="S12" s="747" t="s">
        <v>1062</v>
      </c>
      <c r="T12" s="743"/>
      <c r="U12" s="743"/>
      <c r="V12" s="14" t="s">
        <v>1020</v>
      </c>
      <c r="W12" s="13"/>
      <c r="X12" s="13"/>
      <c r="Y12" s="168"/>
      <c r="Z12" s="752" t="s">
        <v>997</v>
      </c>
      <c r="AA12" s="13" t="s">
        <v>1024</v>
      </c>
      <c r="AB12" s="13"/>
      <c r="AC12" s="13"/>
      <c r="AD12" s="168"/>
      <c r="AE12" s="323" t="s">
        <v>333</v>
      </c>
      <c r="AF12" s="145">
        <v>68</v>
      </c>
      <c r="AG12" s="16" t="s">
        <v>22</v>
      </c>
      <c r="AH12" s="323" t="s">
        <v>114</v>
      </c>
      <c r="AI12" s="80">
        <f>AF12+AF15</f>
        <v>78</v>
      </c>
      <c r="AJ12" s="16" t="s">
        <v>22</v>
      </c>
      <c r="AK12" s="222" t="s">
        <v>316</v>
      </c>
      <c r="AL12" s="41">
        <f>1.1*AL5*AL7*10^AL8</f>
        <v>0.36300000000000004</v>
      </c>
      <c r="AM12" s="423" t="s">
        <v>829</v>
      </c>
    </row>
    <row r="13" spans="1:39" ht="13.5" thickBot="1">
      <c r="A13" s="862" t="s">
        <v>110</v>
      </c>
      <c r="B13" s="862"/>
      <c r="C13" s="863"/>
      <c r="D13" s="873" t="s">
        <v>67</v>
      </c>
      <c r="E13" s="850"/>
      <c r="F13" s="853"/>
      <c r="G13" s="871"/>
      <c r="H13" s="872"/>
      <c r="I13" s="872"/>
      <c r="J13" s="598"/>
      <c r="K13" s="589"/>
      <c r="L13" s="589"/>
      <c r="M13" s="589"/>
      <c r="N13" s="858" t="s">
        <v>1013</v>
      </c>
      <c r="O13" s="879"/>
      <c r="P13" s="879"/>
      <c r="Q13" s="859"/>
      <c r="R13" s="613"/>
      <c r="S13" s="743" t="s">
        <v>995</v>
      </c>
      <c r="T13" s="613"/>
      <c r="U13" s="613"/>
      <c r="V13" s="753"/>
      <c r="W13" s="882" t="s">
        <v>1078</v>
      </c>
      <c r="X13" s="882"/>
      <c r="Y13" s="437"/>
      <c r="Z13" s="761"/>
      <c r="AA13" s="756"/>
      <c r="AB13" s="756"/>
      <c r="AC13" s="13"/>
      <c r="AD13" s="168"/>
      <c r="AE13" s="323" t="s">
        <v>104</v>
      </c>
      <c r="AF13" s="80">
        <f>AF17^2*AF12</f>
        <v>0.03884023575016811</v>
      </c>
      <c r="AG13" s="16" t="s">
        <v>1</v>
      </c>
      <c r="AH13" s="323" t="s">
        <v>115</v>
      </c>
      <c r="AI13" s="80">
        <f>($AF$4-AI7)/(AI12+$AF$7)</f>
        <v>0.027672955974842765</v>
      </c>
      <c r="AJ13" s="16" t="s">
        <v>34</v>
      </c>
      <c r="AK13" s="222" t="s">
        <v>316</v>
      </c>
      <c r="AL13" s="609">
        <f>AL12*1000</f>
        <v>363.00000000000006</v>
      </c>
      <c r="AM13" s="304" t="s">
        <v>830</v>
      </c>
    </row>
    <row r="14" spans="1:39" ht="13.5" thickBot="1">
      <c r="A14" s="23"/>
      <c r="B14" s="23"/>
      <c r="C14" s="23"/>
      <c r="D14" s="30"/>
      <c r="E14" s="31"/>
      <c r="F14" s="32"/>
      <c r="G14" s="873" t="s">
        <v>67</v>
      </c>
      <c r="H14" s="850"/>
      <c r="I14" s="850"/>
      <c r="J14" s="873" t="s">
        <v>482</v>
      </c>
      <c r="K14" s="874"/>
      <c r="L14" s="874"/>
      <c r="M14" s="875"/>
      <c r="N14" s="167"/>
      <c r="O14" s="13"/>
      <c r="P14" s="13"/>
      <c r="Q14" s="168"/>
      <c r="R14" s="613"/>
      <c r="S14" s="613"/>
      <c r="T14" s="613"/>
      <c r="U14" s="613"/>
      <c r="V14" s="759"/>
      <c r="W14" s="879" t="s">
        <v>1079</v>
      </c>
      <c r="X14" s="880"/>
      <c r="Y14" s="437"/>
      <c r="Z14" s="752" t="s">
        <v>997</v>
      </c>
      <c r="AA14" s="615">
        <f>(AC7-AC6)/AC8*1000</f>
        <v>16000</v>
      </c>
      <c r="AB14" s="615"/>
      <c r="AC14" s="754" t="s">
        <v>22</v>
      </c>
      <c r="AD14" s="750"/>
      <c r="AE14" s="323" t="s">
        <v>105</v>
      </c>
      <c r="AF14" s="80">
        <f>AF9-AF12</f>
        <v>57.16666666666667</v>
      </c>
      <c r="AG14" s="16" t="s">
        <v>22</v>
      </c>
      <c r="AH14" s="323" t="s">
        <v>116</v>
      </c>
      <c r="AI14" s="80">
        <f>($AF$4-AI6)/(AI12+$AF$7)</f>
        <v>0.018867924528301886</v>
      </c>
      <c r="AJ14" s="16" t="s">
        <v>34</v>
      </c>
      <c r="AK14" s="222" t="s">
        <v>831</v>
      </c>
      <c r="AL14" s="609">
        <f>1.1*(AL5-AL5*AL6/100)*(AL7*10^AL8-AL7*10^AL8*AL9/100)</f>
        <v>0.32343299999999997</v>
      </c>
      <c r="AM14" s="423" t="s">
        <v>829</v>
      </c>
    </row>
    <row r="15" spans="1:39" ht="13.5" thickBot="1">
      <c r="A15" s="23"/>
      <c r="B15" s="23"/>
      <c r="C15" s="23"/>
      <c r="D15" s="321"/>
      <c r="E15" s="118">
        <v>1</v>
      </c>
      <c r="F15" s="165" t="s">
        <v>98</v>
      </c>
      <c r="G15" s="30"/>
      <c r="H15" s="31"/>
      <c r="I15" s="31"/>
      <c r="J15" s="30"/>
      <c r="K15" s="31"/>
      <c r="L15" s="31"/>
      <c r="M15" s="32"/>
      <c r="N15" s="869" t="s">
        <v>1068</v>
      </c>
      <c r="O15" s="892"/>
      <c r="P15" s="755">
        <f>P8+(P5*(((P8-P10)/P7)+(P8/P6)))</f>
        <v>49.39525969962453</v>
      </c>
      <c r="Q15" s="168" t="s">
        <v>3</v>
      </c>
      <c r="R15" s="725" t="s">
        <v>997</v>
      </c>
      <c r="S15" s="615">
        <f>(T5-T7)/T8*1000</f>
        <v>83000</v>
      </c>
      <c r="T15" s="613" t="s">
        <v>22</v>
      </c>
      <c r="U15" s="613"/>
      <c r="V15" s="167"/>
      <c r="W15" s="13"/>
      <c r="X15" s="13"/>
      <c r="Y15" s="168"/>
      <c r="Z15" s="167"/>
      <c r="AA15" s="13"/>
      <c r="AB15" s="13"/>
      <c r="AC15" s="13"/>
      <c r="AD15" s="168"/>
      <c r="AE15" s="323" t="s">
        <v>415</v>
      </c>
      <c r="AF15" s="145">
        <v>10</v>
      </c>
      <c r="AG15" s="16" t="s">
        <v>22</v>
      </c>
      <c r="AH15" s="323" t="s">
        <v>117</v>
      </c>
      <c r="AI15" s="80">
        <f>AI13*AF12</f>
        <v>1.881761006289308</v>
      </c>
      <c r="AJ15" s="17" t="s">
        <v>70</v>
      </c>
      <c r="AK15" s="222" t="s">
        <v>831</v>
      </c>
      <c r="AL15" s="609">
        <f>AL14*1000</f>
        <v>323.433</v>
      </c>
      <c r="AM15" s="304" t="s">
        <v>830</v>
      </c>
    </row>
    <row r="16" spans="1:39" ht="13.5" thickBot="1">
      <c r="A16" s="23"/>
      <c r="B16" s="23"/>
      <c r="C16" s="23"/>
      <c r="D16" s="321"/>
      <c r="E16" s="142">
        <v>22</v>
      </c>
      <c r="F16" s="166" t="s">
        <v>22</v>
      </c>
      <c r="G16" s="321" t="s">
        <v>332</v>
      </c>
      <c r="H16" s="118">
        <v>1</v>
      </c>
      <c r="I16" s="75" t="s">
        <v>98</v>
      </c>
      <c r="J16" s="30"/>
      <c r="K16" s="322" t="s">
        <v>896</v>
      </c>
      <c r="L16" s="118">
        <v>45.42834793</v>
      </c>
      <c r="M16" s="84" t="s">
        <v>3</v>
      </c>
      <c r="N16" s="612"/>
      <c r="O16" s="613"/>
      <c r="P16" s="613"/>
      <c r="Q16" s="614"/>
      <c r="R16" s="613"/>
      <c r="S16" s="613"/>
      <c r="T16" s="613"/>
      <c r="U16" s="613"/>
      <c r="V16" s="895" t="s">
        <v>1020</v>
      </c>
      <c r="W16" s="892"/>
      <c r="X16" s="755">
        <f>X5*(X6*X8+X7*X9)/(X5*X6+X5*X7+X7*X6)</f>
        <v>0.6105527638190955</v>
      </c>
      <c r="Y16" s="168" t="s">
        <v>3</v>
      </c>
      <c r="Z16" s="753" t="s">
        <v>1025</v>
      </c>
      <c r="AA16" s="758" t="s">
        <v>1026</v>
      </c>
      <c r="AB16" s="758"/>
      <c r="AC16" s="756"/>
      <c r="AD16" s="750"/>
      <c r="AE16" s="323" t="s">
        <v>106</v>
      </c>
      <c r="AF16" s="80">
        <f>AF17^2*AF15</f>
        <v>0.005711799375024721</v>
      </c>
      <c r="AG16" s="16" t="s">
        <v>1</v>
      </c>
      <c r="AH16" s="323" t="s">
        <v>118</v>
      </c>
      <c r="AI16" s="80">
        <f>AI14*AF12</f>
        <v>1.2830188679245282</v>
      </c>
      <c r="AJ16" s="17" t="s">
        <v>70</v>
      </c>
      <c r="AK16" s="222" t="s">
        <v>832</v>
      </c>
      <c r="AL16" s="609">
        <f>1.1*(AL5+AL5*AL6/100)*(AL7*10^AL8+AL7*10^AL8*AL9/100)</f>
        <v>0.40329300000000007</v>
      </c>
      <c r="AM16" s="423" t="s">
        <v>829</v>
      </c>
    </row>
    <row r="17" spans="1:39" ht="12.75">
      <c r="A17" s="334"/>
      <c r="B17" s="118">
        <v>1</v>
      </c>
      <c r="C17" s="21" t="s">
        <v>34</v>
      </c>
      <c r="D17" s="321"/>
      <c r="E17" s="141">
        <v>18</v>
      </c>
      <c r="F17" s="32" t="s">
        <v>22</v>
      </c>
      <c r="G17" s="321" t="s">
        <v>333</v>
      </c>
      <c r="H17" s="142">
        <v>3.3</v>
      </c>
      <c r="I17" s="39" t="s">
        <v>22</v>
      </c>
      <c r="J17" s="30"/>
      <c r="K17" s="417" t="s">
        <v>897</v>
      </c>
      <c r="L17" s="141">
        <f>P5</f>
        <v>83000</v>
      </c>
      <c r="M17" s="166" t="s">
        <v>22</v>
      </c>
      <c r="N17" s="167" t="s">
        <v>1069</v>
      </c>
      <c r="O17" s="13"/>
      <c r="P17" s="13"/>
      <c r="Q17" s="168"/>
      <c r="R17" s="724" t="s">
        <v>1030</v>
      </c>
      <c r="S17" s="747" t="s">
        <v>1063</v>
      </c>
      <c r="T17" s="743"/>
      <c r="U17" s="743"/>
      <c r="V17" s="167"/>
      <c r="W17" s="13"/>
      <c r="X17" s="13"/>
      <c r="Y17" s="168"/>
      <c r="Z17" s="752"/>
      <c r="AA17" s="762" t="s">
        <v>1027</v>
      </c>
      <c r="AB17" s="763" t="s">
        <v>1028</v>
      </c>
      <c r="AC17" s="762" t="s">
        <v>1029</v>
      </c>
      <c r="AD17" s="168"/>
      <c r="AE17" s="323" t="s">
        <v>108</v>
      </c>
      <c r="AF17" s="80">
        <f>(AF4-AF6)/(AF12+AF15+AF7)</f>
        <v>0.023899371069182388</v>
      </c>
      <c r="AG17" s="16" t="s">
        <v>34</v>
      </c>
      <c r="AH17" s="323" t="s">
        <v>120</v>
      </c>
      <c r="AI17" s="80">
        <f>AF17*AF12</f>
        <v>1.6251572327044024</v>
      </c>
      <c r="AJ17" s="17" t="s">
        <v>70</v>
      </c>
      <c r="AK17" s="222" t="s">
        <v>832</v>
      </c>
      <c r="AL17" s="609">
        <f>AL16*1000</f>
        <v>403.29300000000006</v>
      </c>
      <c r="AM17" s="304" t="s">
        <v>830</v>
      </c>
    </row>
    <row r="18" spans="1:39" ht="13.5" thickBot="1">
      <c r="A18" s="334"/>
      <c r="B18" s="119">
        <v>2.2</v>
      </c>
      <c r="C18" s="21" t="s">
        <v>22</v>
      </c>
      <c r="D18" s="321"/>
      <c r="E18" s="119">
        <v>9999999999999990</v>
      </c>
      <c r="F18" s="32" t="s">
        <v>22</v>
      </c>
      <c r="G18" s="321" t="s">
        <v>334</v>
      </c>
      <c r="H18" s="142">
        <v>2.2</v>
      </c>
      <c r="I18" s="31" t="s">
        <v>22</v>
      </c>
      <c r="J18" s="30"/>
      <c r="K18" s="322" t="s">
        <v>898</v>
      </c>
      <c r="L18" s="141">
        <v>3.5</v>
      </c>
      <c r="M18" s="166" t="s">
        <v>3</v>
      </c>
      <c r="N18" s="858" t="s">
        <v>1014</v>
      </c>
      <c r="O18" s="880"/>
      <c r="P18" s="880"/>
      <c r="Q18" s="860"/>
      <c r="R18" s="613"/>
      <c r="S18" s="613" t="s">
        <v>1064</v>
      </c>
      <c r="T18" s="613"/>
      <c r="U18" s="613"/>
      <c r="V18" s="14" t="s">
        <v>1021</v>
      </c>
      <c r="W18" s="13"/>
      <c r="X18" s="13"/>
      <c r="Y18" s="168"/>
      <c r="Z18" s="167"/>
      <c r="AA18" s="763" t="s">
        <v>1076</v>
      </c>
      <c r="AB18" s="763"/>
      <c r="AC18" s="763" t="s">
        <v>1075</v>
      </c>
      <c r="AD18" s="168"/>
      <c r="AE18" s="357" t="s">
        <v>107</v>
      </c>
      <c r="AF18" s="77"/>
      <c r="AG18" s="16"/>
      <c r="AH18" s="357" t="s">
        <v>107</v>
      </c>
      <c r="AI18" s="77"/>
      <c r="AJ18" s="16"/>
      <c r="AK18" s="425"/>
      <c r="AL18" s="371"/>
      <c r="AM18" s="29"/>
    </row>
    <row r="19" spans="1:39" ht="13.5" thickBot="1">
      <c r="A19" s="182"/>
      <c r="B19" s="25"/>
      <c r="C19" s="21"/>
      <c r="D19" s="33"/>
      <c r="E19" s="34"/>
      <c r="F19" s="32"/>
      <c r="G19" s="321" t="s">
        <v>335</v>
      </c>
      <c r="H19" s="143">
        <v>2.2</v>
      </c>
      <c r="I19" s="31" t="s">
        <v>22</v>
      </c>
      <c r="J19" s="30"/>
      <c r="K19" s="322" t="s">
        <v>899</v>
      </c>
      <c r="L19" s="141">
        <f>P7</f>
        <v>68000</v>
      </c>
      <c r="M19" s="166" t="s">
        <v>22</v>
      </c>
      <c r="N19" s="167"/>
      <c r="O19" s="13"/>
      <c r="P19" s="13"/>
      <c r="Q19" s="168"/>
      <c r="R19" s="744"/>
      <c r="S19" s="744"/>
      <c r="T19" s="744"/>
      <c r="U19" s="744"/>
      <c r="V19" s="167"/>
      <c r="W19" s="882" t="s">
        <v>1080</v>
      </c>
      <c r="X19" s="882"/>
      <c r="Y19" s="168"/>
      <c r="Z19" s="167"/>
      <c r="AA19" s="13"/>
      <c r="AB19" s="13"/>
      <c r="AC19" s="13"/>
      <c r="AD19" s="168"/>
      <c r="AE19" s="323" t="s">
        <v>333</v>
      </c>
      <c r="AF19" s="145">
        <v>330</v>
      </c>
      <c r="AG19" s="16" t="s">
        <v>22</v>
      </c>
      <c r="AH19" s="323" t="s">
        <v>119</v>
      </c>
      <c r="AI19" s="80">
        <f>1/(1/AF19+1/AF22)</f>
        <v>138.94736842105263</v>
      </c>
      <c r="AJ19" s="16" t="s">
        <v>22</v>
      </c>
      <c r="AK19" s="425"/>
      <c r="AL19" s="371"/>
      <c r="AM19" s="29"/>
    </row>
    <row r="20" spans="1:39" ht="13.5" thickBot="1">
      <c r="A20" s="843" t="s">
        <v>113</v>
      </c>
      <c r="B20" s="843"/>
      <c r="C20" s="855"/>
      <c r="D20" s="876" t="s">
        <v>143</v>
      </c>
      <c r="E20" s="848"/>
      <c r="F20" s="849"/>
      <c r="G20" s="321" t="s">
        <v>336</v>
      </c>
      <c r="H20" s="143">
        <v>3.3</v>
      </c>
      <c r="I20" s="31" t="s">
        <v>22</v>
      </c>
      <c r="J20" s="30"/>
      <c r="K20" s="321" t="s">
        <v>900</v>
      </c>
      <c r="L20" s="119">
        <f>P6</f>
        <v>4700</v>
      </c>
      <c r="M20" s="166" t="s">
        <v>22</v>
      </c>
      <c r="N20" s="869" t="s">
        <v>1069</v>
      </c>
      <c r="O20" s="892"/>
      <c r="P20" s="755">
        <f>P8-(P5*(((P9-P8)/P7)-(P8/P6)))</f>
        <v>45.42834793491865</v>
      </c>
      <c r="Q20" s="757" t="s">
        <v>70</v>
      </c>
      <c r="R20" s="724" t="s">
        <v>1030</v>
      </c>
      <c r="S20" s="615">
        <f>(T9-T10)/((T8/1000)-((T6-T7)/S15))</f>
        <v>67999.99999999996</v>
      </c>
      <c r="T20" s="613" t="s">
        <v>22</v>
      </c>
      <c r="U20" s="613"/>
      <c r="V20" s="167"/>
      <c r="W20" s="879" t="s">
        <v>1079</v>
      </c>
      <c r="X20" s="880"/>
      <c r="Y20" s="168"/>
      <c r="Z20" s="753" t="s">
        <v>1025</v>
      </c>
      <c r="AA20" s="615">
        <f>AC6/(((AC7-AC6)/AA14)-((AC6-AC10)/AA26))</f>
        <v>1500.0000000000002</v>
      </c>
      <c r="AB20" s="13"/>
      <c r="AC20" s="754" t="s">
        <v>22</v>
      </c>
      <c r="AD20" s="168"/>
      <c r="AE20" s="323" t="s">
        <v>104</v>
      </c>
      <c r="AF20" s="80">
        <f>(AF4-AF6)^2/AF19</f>
        <v>0.01093939393939394</v>
      </c>
      <c r="AG20" s="16" t="s">
        <v>1</v>
      </c>
      <c r="AH20" s="323" t="s">
        <v>115</v>
      </c>
      <c r="AI20" s="80">
        <f>($AF$4-AI7)/(1/((1/AF19+1/AF22))+AF7)</f>
        <v>0.015664230841296607</v>
      </c>
      <c r="AJ20" s="16" t="s">
        <v>34</v>
      </c>
      <c r="AK20" s="608" t="s">
        <v>833</v>
      </c>
      <c r="AL20" s="41"/>
      <c r="AM20" s="420"/>
    </row>
    <row r="21" spans="1:39" ht="13.5" thickBot="1">
      <c r="A21" s="181"/>
      <c r="B21" s="21"/>
      <c r="C21" s="21"/>
      <c r="D21" s="474" t="s">
        <v>145</v>
      </c>
      <c r="E21" s="76">
        <f>1/(1/E16+1/E17+1/E18)</f>
        <v>9.899999999999991</v>
      </c>
      <c r="F21" s="166" t="s">
        <v>22</v>
      </c>
      <c r="G21" s="321" t="s">
        <v>337</v>
      </c>
      <c r="H21" s="143">
        <v>1.5</v>
      </c>
      <c r="I21" s="31" t="s">
        <v>22</v>
      </c>
      <c r="J21" s="321"/>
      <c r="K21" s="34"/>
      <c r="L21" s="34"/>
      <c r="M21" s="32"/>
      <c r="N21" s="658"/>
      <c r="O21" s="659"/>
      <c r="P21" s="659"/>
      <c r="Q21" s="660"/>
      <c r="R21" s="661"/>
      <c r="S21" s="661"/>
      <c r="T21" s="661"/>
      <c r="U21" s="659"/>
      <c r="V21" s="869"/>
      <c r="W21" s="892"/>
      <c r="X21" s="755"/>
      <c r="Y21" s="757"/>
      <c r="Z21" s="764"/>
      <c r="AA21" s="760"/>
      <c r="AB21" s="760"/>
      <c r="AC21" s="760"/>
      <c r="AD21" s="757"/>
      <c r="AE21" s="323" t="s">
        <v>105</v>
      </c>
      <c r="AF21" s="80">
        <f>1/(1/AF9-1/AF19)</f>
        <v>201.65174938974778</v>
      </c>
      <c r="AG21" s="16" t="s">
        <v>22</v>
      </c>
      <c r="AH21" s="323" t="s">
        <v>116</v>
      </c>
      <c r="AI21" s="80">
        <f>($AF$4-AI6)/(1/((1/AF19+1/AF22))+AF7)</f>
        <v>0.010680157391793142</v>
      </c>
      <c r="AJ21" s="16" t="s">
        <v>34</v>
      </c>
      <c r="AK21" s="425"/>
      <c r="AL21" s="371"/>
      <c r="AM21" s="29"/>
    </row>
    <row r="22" spans="1:39" ht="13.5" thickBot="1">
      <c r="A22" s="181" t="s">
        <v>213</v>
      </c>
      <c r="B22" s="41">
        <f>B17*B18</f>
        <v>2.2</v>
      </c>
      <c r="C22" s="21" t="s">
        <v>3</v>
      </c>
      <c r="D22" s="474" t="s">
        <v>297</v>
      </c>
      <c r="E22" s="76">
        <f>1/(1/(E16+(E16*E15/100))+1/(E17+(E17*E15/100))+1/(E18+(E18*E15/100)))</f>
        <v>9.99899999999999</v>
      </c>
      <c r="F22" s="166" t="s">
        <v>22</v>
      </c>
      <c r="G22" s="321" t="s">
        <v>338</v>
      </c>
      <c r="H22" s="144">
        <v>1E+32</v>
      </c>
      <c r="I22" s="31" t="s">
        <v>22</v>
      </c>
      <c r="J22" s="321" t="s">
        <v>479</v>
      </c>
      <c r="K22" s="729" t="s">
        <v>994</v>
      </c>
      <c r="L22" s="632"/>
      <c r="M22" s="32"/>
      <c r="N22" s="881" t="s">
        <v>1067</v>
      </c>
      <c r="O22" s="868"/>
      <c r="P22" s="784">
        <f>(P15-P8)/P5*1000</f>
        <v>0.5650031289111389</v>
      </c>
      <c r="Q22" s="783" t="s">
        <v>1023</v>
      </c>
      <c r="R22" s="724" t="s">
        <v>1025</v>
      </c>
      <c r="S22" s="782" t="s">
        <v>1065</v>
      </c>
      <c r="T22" s="661"/>
      <c r="U22" s="661"/>
      <c r="V22" s="869" t="s">
        <v>1021</v>
      </c>
      <c r="W22" s="892"/>
      <c r="X22" s="755">
        <f>X5*(X6*X8+X7*X10)/(X5*X6+X5*X7+X7*X6)</f>
        <v>0.2185929648241206</v>
      </c>
      <c r="Y22" s="757" t="s">
        <v>70</v>
      </c>
      <c r="Z22" s="753" t="s">
        <v>1030</v>
      </c>
      <c r="AA22" s="763" t="s">
        <v>1031</v>
      </c>
      <c r="AB22" s="765" t="s">
        <v>1032</v>
      </c>
      <c r="AC22" s="765" t="s">
        <v>1033</v>
      </c>
      <c r="AD22" s="168"/>
      <c r="AE22" s="323" t="s">
        <v>415</v>
      </c>
      <c r="AF22" s="145">
        <v>240</v>
      </c>
      <c r="AG22" s="16" t="s">
        <v>22</v>
      </c>
      <c r="AH22" s="323" t="s">
        <v>117</v>
      </c>
      <c r="AI22" s="80">
        <f>$AF$4-(AI20*AF7)-AI7</f>
        <v>2.1765036537380547</v>
      </c>
      <c r="AJ22" s="17" t="s">
        <v>70</v>
      </c>
      <c r="AK22" s="222" t="s">
        <v>976</v>
      </c>
      <c r="AL22" s="118">
        <v>10000</v>
      </c>
      <c r="AM22" s="421" t="s">
        <v>22</v>
      </c>
    </row>
    <row r="23" spans="1:39" ht="12.75" customHeight="1">
      <c r="A23" s="21"/>
      <c r="B23" s="21"/>
      <c r="C23" s="21"/>
      <c r="D23" s="474" t="s">
        <v>298</v>
      </c>
      <c r="E23" s="76">
        <f>1/(1/(E16-(E16*E15/100))+1/(E17-(E17*E15/100))+1/(E18-(E18*E15/100)))</f>
        <v>9.80099999999999</v>
      </c>
      <c r="F23" s="32" t="s">
        <v>22</v>
      </c>
      <c r="G23" s="30"/>
      <c r="H23" s="31"/>
      <c r="I23" s="31"/>
      <c r="J23" s="321"/>
      <c r="K23" s="632" t="s">
        <v>480</v>
      </c>
      <c r="L23" s="632"/>
      <c r="M23" s="32"/>
      <c r="N23" s="612"/>
      <c r="O23" s="613"/>
      <c r="P23" s="613"/>
      <c r="Q23" s="614"/>
      <c r="R23" s="613"/>
      <c r="S23" s="613" t="s">
        <v>1066</v>
      </c>
      <c r="T23" s="613"/>
      <c r="U23" s="613"/>
      <c r="V23" s="612"/>
      <c r="W23" s="613"/>
      <c r="X23" s="613"/>
      <c r="Y23" s="614"/>
      <c r="Z23" s="14"/>
      <c r="AA23" s="766" t="s">
        <v>1034</v>
      </c>
      <c r="AB23" s="763" t="s">
        <v>1035</v>
      </c>
      <c r="AC23" s="762" t="s">
        <v>1036</v>
      </c>
      <c r="AD23" s="767"/>
      <c r="AE23" s="323" t="s">
        <v>106</v>
      </c>
      <c r="AF23" s="80">
        <f>(AF4-AF6)^2/AF22</f>
        <v>0.015041666666666667</v>
      </c>
      <c r="AG23" s="16" t="s">
        <v>1</v>
      </c>
      <c r="AH23" s="323" t="s">
        <v>118</v>
      </c>
      <c r="AI23" s="80">
        <f>$AF$4-(AI21*AF7)-AI6</f>
        <v>1.48397976391231</v>
      </c>
      <c r="AJ23" s="17" t="s">
        <v>70</v>
      </c>
      <c r="AK23" s="183" t="s">
        <v>826</v>
      </c>
      <c r="AL23" s="141">
        <v>1</v>
      </c>
      <c r="AM23" s="22" t="s">
        <v>98</v>
      </c>
    </row>
    <row r="24" spans="1:39" ht="13.5" customHeight="1" thickBot="1">
      <c r="A24" s="27"/>
      <c r="B24" s="27"/>
      <c r="C24" s="27"/>
      <c r="D24" s="36"/>
      <c r="E24" s="37"/>
      <c r="F24" s="38"/>
      <c r="G24" s="33" t="s">
        <v>145</v>
      </c>
      <c r="H24" s="825" t="s">
        <v>144</v>
      </c>
      <c r="I24" s="825"/>
      <c r="J24" s="321" t="s">
        <v>479</v>
      </c>
      <c r="K24" s="76">
        <f>(L20*(L19*L16+L17*L18))/(L20*L19+L20*L17+L17*L19)</f>
        <v>2.499999999752585</v>
      </c>
      <c r="L24" s="34" t="s">
        <v>3</v>
      </c>
      <c r="M24" s="32"/>
      <c r="N24" s="881"/>
      <c r="O24" s="868"/>
      <c r="P24" s="615"/>
      <c r="Q24" s="660"/>
      <c r="R24" s="659"/>
      <c r="S24" s="659"/>
      <c r="T24" s="659"/>
      <c r="U24" s="659"/>
      <c r="V24" s="881" t="s">
        <v>1074</v>
      </c>
      <c r="W24" s="868"/>
      <c r="X24" s="615">
        <f>(X8-X22)/X7*1000</f>
        <v>0.14258793969849246</v>
      </c>
      <c r="Y24" s="660" t="s">
        <v>1023</v>
      </c>
      <c r="Z24" s="748"/>
      <c r="AA24" s="754" t="s">
        <v>904</v>
      </c>
      <c r="AB24" s="754"/>
      <c r="AC24" s="754" t="s">
        <v>904</v>
      </c>
      <c r="AD24" s="749"/>
      <c r="AE24" s="323" t="s">
        <v>108</v>
      </c>
      <c r="AF24" s="80">
        <f>($AF$4-AF6)/(1/((1/$AF$19+1/$AF$22))+$AF$7)</f>
        <v>0.01352819936293798</v>
      </c>
      <c r="AG24" s="16" t="s">
        <v>34</v>
      </c>
      <c r="AH24" s="323" t="s">
        <v>120</v>
      </c>
      <c r="AI24" s="80">
        <f>$AF$4-(AF24*AF7)-AF6</f>
        <v>1.8797077009555934</v>
      </c>
      <c r="AJ24" s="17" t="s">
        <v>70</v>
      </c>
      <c r="AK24" s="222" t="s">
        <v>977</v>
      </c>
      <c r="AL24" s="141">
        <v>10000</v>
      </c>
      <c r="AM24" s="421" t="s">
        <v>22</v>
      </c>
    </row>
    <row r="25" spans="1:39" ht="13.5" thickBot="1">
      <c r="A25" s="862" t="s">
        <v>111</v>
      </c>
      <c r="B25" s="862"/>
      <c r="C25" s="863"/>
      <c r="D25" s="873" t="s">
        <v>67</v>
      </c>
      <c r="E25" s="850"/>
      <c r="F25" s="853"/>
      <c r="G25" s="33"/>
      <c r="H25" s="825"/>
      <c r="I25" s="825"/>
      <c r="J25" s="633"/>
      <c r="K25" s="634"/>
      <c r="L25" s="634"/>
      <c r="M25" s="635"/>
      <c r="N25" s="612"/>
      <c r="O25" s="613"/>
      <c r="P25" s="613"/>
      <c r="Q25" s="614"/>
      <c r="R25" s="725" t="s">
        <v>1025</v>
      </c>
      <c r="S25" s="615">
        <f>T7/((T8/1000)-((T7-T10)/S20))</f>
        <v>4700</v>
      </c>
      <c r="T25" s="613" t="s">
        <v>22</v>
      </c>
      <c r="U25" s="613"/>
      <c r="V25" s="612"/>
      <c r="W25" s="613"/>
      <c r="X25" s="613"/>
      <c r="Y25" s="614"/>
      <c r="Z25" s="167"/>
      <c r="AA25" s="13"/>
      <c r="AB25" s="13"/>
      <c r="AC25" s="13"/>
      <c r="AD25" s="168"/>
      <c r="AE25" s="883"/>
      <c r="AF25" s="259"/>
      <c r="AG25" s="259"/>
      <c r="AH25" s="259"/>
      <c r="AI25" s="19"/>
      <c r="AJ25" s="619"/>
      <c r="AK25" s="183" t="s">
        <v>834</v>
      </c>
      <c r="AL25" s="141">
        <v>1</v>
      </c>
      <c r="AM25" s="22" t="s">
        <v>98</v>
      </c>
    </row>
    <row r="26" spans="1:39" ht="13.5" thickBot="1">
      <c r="A26" s="23"/>
      <c r="B26" s="23"/>
      <c r="C26" s="23"/>
      <c r="D26" s="33"/>
      <c r="E26" s="34"/>
      <c r="F26" s="32"/>
      <c r="G26" s="30"/>
      <c r="H26" s="31"/>
      <c r="I26" s="31"/>
      <c r="J26" s="846"/>
      <c r="K26" s="872"/>
      <c r="L26" s="872"/>
      <c r="M26" s="847"/>
      <c r="N26" s="662"/>
      <c r="O26" s="663"/>
      <c r="P26" s="663"/>
      <c r="Q26" s="664"/>
      <c r="R26" s="663"/>
      <c r="S26" s="663"/>
      <c r="T26" s="663"/>
      <c r="U26" s="663"/>
      <c r="V26" s="662"/>
      <c r="W26" s="663"/>
      <c r="X26" s="663"/>
      <c r="Y26" s="664"/>
      <c r="Z26" s="753" t="s">
        <v>1030</v>
      </c>
      <c r="AA26" s="615">
        <f>(AC6*(AC9-AC5)+AC5*(AC6-AC10))/((AC5*(AC7-AC6)/AA14)-((AC6*(AC7-AC5)/AA14)))</f>
        <v>10000</v>
      </c>
      <c r="AB26" s="763"/>
      <c r="AC26" s="754" t="s">
        <v>22</v>
      </c>
      <c r="AD26" s="767"/>
      <c r="AE26" s="728"/>
      <c r="AF26" s="728"/>
      <c r="AG26" s="728"/>
      <c r="AK26" s="222" t="s">
        <v>978</v>
      </c>
      <c r="AL26" s="141">
        <v>1</v>
      </c>
      <c r="AM26" s="82" t="s">
        <v>48</v>
      </c>
    </row>
    <row r="27" spans="1:39" ht="12.75">
      <c r="A27" s="23"/>
      <c r="B27" s="118">
        <v>3</v>
      </c>
      <c r="C27" s="21" t="s">
        <v>3</v>
      </c>
      <c r="D27" s="33"/>
      <c r="E27" s="149">
        <v>723</v>
      </c>
      <c r="F27" s="166" t="s">
        <v>22</v>
      </c>
      <c r="G27" s="315" t="s">
        <v>145</v>
      </c>
      <c r="H27" s="76">
        <f>1/(1/H17+1/H18+1/H19+1/H20+1/H21+1/H22)</f>
        <v>0.45833333333333337</v>
      </c>
      <c r="I27" s="39" t="s">
        <v>22</v>
      </c>
      <c r="J27" s="470"/>
      <c r="K27" s="630"/>
      <c r="L27" s="473"/>
      <c r="M27" s="472"/>
      <c r="N27" s="657"/>
      <c r="O27" s="665"/>
      <c r="P27" s="613"/>
      <c r="Q27" s="666"/>
      <c r="R27" s="665"/>
      <c r="S27" s="665"/>
      <c r="T27" s="665"/>
      <c r="U27" s="665"/>
      <c r="V27" s="657"/>
      <c r="W27" s="665"/>
      <c r="X27" s="613"/>
      <c r="Y27" s="666"/>
      <c r="Z27" s="884"/>
      <c r="AA27" s="665"/>
      <c r="AB27" s="665"/>
      <c r="AC27" s="665"/>
      <c r="AD27" s="666"/>
      <c r="AK27" s="222" t="s">
        <v>330</v>
      </c>
      <c r="AL27" s="141">
        <v>-9</v>
      </c>
      <c r="AM27" s="22"/>
    </row>
    <row r="28" spans="1:39" ht="13.5" thickBot="1">
      <c r="A28" s="334"/>
      <c r="B28" s="119">
        <v>0.3</v>
      </c>
      <c r="C28" s="21" t="s">
        <v>34</v>
      </c>
      <c r="D28" s="321" t="s">
        <v>974</v>
      </c>
      <c r="E28" s="119">
        <v>50</v>
      </c>
      <c r="F28" s="32" t="s">
        <v>22</v>
      </c>
      <c r="G28" s="315" t="s">
        <v>297</v>
      </c>
      <c r="H28" s="76">
        <f>1/(1/(H17+(H17*H16/100))+1/(H18+(H18*H16/100))+1/(H19+(H19*H16/100))+1/(H20+(H20*H16/100))+1/(H21+(H21*H16/100))+1/(H22+(H22*H16/100)))</f>
        <v>0.4629166666666667</v>
      </c>
      <c r="I28" s="39" t="s">
        <v>22</v>
      </c>
      <c r="J28" s="636"/>
      <c r="K28" s="637"/>
      <c r="L28" s="638"/>
      <c r="M28" s="639"/>
      <c r="N28" s="612"/>
      <c r="O28" s="659"/>
      <c r="P28" s="613"/>
      <c r="Q28" s="666"/>
      <c r="R28" s="665"/>
      <c r="S28" s="665"/>
      <c r="T28" s="665"/>
      <c r="U28" s="665"/>
      <c r="V28" s="612"/>
      <c r="W28" s="659"/>
      <c r="X28" s="613"/>
      <c r="Y28" s="666"/>
      <c r="Z28" s="884"/>
      <c r="AA28" s="665"/>
      <c r="AB28" s="665"/>
      <c r="AC28" s="665"/>
      <c r="AD28" s="666"/>
      <c r="AE28" s="436"/>
      <c r="AK28" s="183" t="s">
        <v>827</v>
      </c>
      <c r="AL28" s="119">
        <v>5</v>
      </c>
      <c r="AM28" s="22" t="s">
        <v>98</v>
      </c>
    </row>
    <row r="29" spans="1:39" ht="12.75">
      <c r="A29" s="181"/>
      <c r="B29" s="351"/>
      <c r="C29" s="319"/>
      <c r="D29" s="33"/>
      <c r="E29" s="35"/>
      <c r="F29" s="32"/>
      <c r="G29" s="315" t="s">
        <v>298</v>
      </c>
      <c r="H29" s="76">
        <f>1/(1/(H17-(H17*H16/100))+1/(H18-(H18*H16/100))+1/(H19-(H19*H16/100))+1/(H20-(H20*H16/100))+1/(H21-(H21*H16/100))+1/(H22-(H22*H16/100)))</f>
        <v>0.4537500000000001</v>
      </c>
      <c r="I29" s="31" t="s">
        <v>22</v>
      </c>
      <c r="J29" s="636"/>
      <c r="K29" s="631"/>
      <c r="L29" s="632"/>
      <c r="M29" s="640"/>
      <c r="N29" s="657"/>
      <c r="O29" s="661"/>
      <c r="P29" s="613"/>
      <c r="Q29" s="666"/>
      <c r="R29" s="665"/>
      <c r="S29" s="665"/>
      <c r="T29" s="665"/>
      <c r="U29" s="665"/>
      <c r="V29" s="657"/>
      <c r="W29" s="661"/>
      <c r="X29" s="613"/>
      <c r="Y29" s="666"/>
      <c r="Z29" s="884"/>
      <c r="AA29" s="665"/>
      <c r="AB29" s="665"/>
      <c r="AC29" s="665"/>
      <c r="AD29" s="666"/>
      <c r="AE29" s="436"/>
      <c r="AK29" s="425"/>
      <c r="AL29" s="371"/>
      <c r="AM29" s="29"/>
    </row>
    <row r="30" spans="1:39" ht="12.75">
      <c r="A30" s="844" t="s">
        <v>112</v>
      </c>
      <c r="B30" s="844"/>
      <c r="C30" s="845"/>
      <c r="D30" s="876" t="s">
        <v>72</v>
      </c>
      <c r="E30" s="848"/>
      <c r="F30" s="849"/>
      <c r="G30" s="30"/>
      <c r="H30" s="208"/>
      <c r="I30" s="34"/>
      <c r="J30" s="636"/>
      <c r="K30" s="630"/>
      <c r="L30" s="473"/>
      <c r="M30" s="472"/>
      <c r="N30" s="612"/>
      <c r="O30" s="659"/>
      <c r="P30" s="613"/>
      <c r="Q30" s="616"/>
      <c r="R30" s="745"/>
      <c r="S30" s="745"/>
      <c r="T30" s="745"/>
      <c r="U30" s="745"/>
      <c r="V30" s="612"/>
      <c r="W30" s="659"/>
      <c r="X30" s="613"/>
      <c r="Y30" s="616"/>
      <c r="Z30" s="885"/>
      <c r="AA30" s="745"/>
      <c r="AB30" s="745"/>
      <c r="AC30" s="745"/>
      <c r="AD30" s="616"/>
      <c r="AK30" s="222" t="s">
        <v>835</v>
      </c>
      <c r="AL30" s="610" t="s">
        <v>836</v>
      </c>
      <c r="AM30" s="304"/>
    </row>
    <row r="31" spans="1:39" ht="12.75">
      <c r="A31" s="181"/>
      <c r="B31" s="21"/>
      <c r="C31" s="21"/>
      <c r="D31" s="33"/>
      <c r="E31" s="34"/>
      <c r="F31" s="32"/>
      <c r="G31" s="30"/>
      <c r="H31" s="208"/>
      <c r="I31" s="34"/>
      <c r="J31" s="636"/>
      <c r="K31" s="630"/>
      <c r="L31" s="473"/>
      <c r="M31" s="472"/>
      <c r="N31" s="667"/>
      <c r="O31" s="661"/>
      <c r="P31" s="613"/>
      <c r="Q31" s="616"/>
      <c r="R31" s="745"/>
      <c r="S31" s="745"/>
      <c r="T31" s="745"/>
      <c r="U31" s="745"/>
      <c r="V31" s="667"/>
      <c r="W31" s="661"/>
      <c r="X31" s="613"/>
      <c r="Y31" s="616"/>
      <c r="Z31" s="885"/>
      <c r="AA31" s="745"/>
      <c r="AB31" s="745"/>
      <c r="AC31" s="745"/>
      <c r="AD31" s="616"/>
      <c r="AK31" s="222" t="s">
        <v>835</v>
      </c>
      <c r="AL31" s="41">
        <f>0.695*(AL22+AL24)*AL26*10^AL27</f>
        <v>1.3899999999999999E-05</v>
      </c>
      <c r="AM31" s="424" t="s">
        <v>829</v>
      </c>
    </row>
    <row r="32" spans="1:39" ht="12.75">
      <c r="A32" s="181" t="s">
        <v>145</v>
      </c>
      <c r="B32" s="41">
        <f>B27/B28</f>
        <v>10</v>
      </c>
      <c r="C32" s="21" t="s">
        <v>22</v>
      </c>
      <c r="D32" s="474" t="s">
        <v>69</v>
      </c>
      <c r="E32" s="76">
        <f>1/(1/E28-1/E27)</f>
        <v>53.71471025260029</v>
      </c>
      <c r="F32" s="166" t="s">
        <v>22</v>
      </c>
      <c r="G32" s="30"/>
      <c r="H32" s="208"/>
      <c r="I32" s="264"/>
      <c r="J32" s="474"/>
      <c r="K32" s="630"/>
      <c r="L32" s="473"/>
      <c r="M32" s="472"/>
      <c r="N32" s="668"/>
      <c r="O32" s="613"/>
      <c r="P32" s="613"/>
      <c r="Q32" s="666"/>
      <c r="R32" s="665"/>
      <c r="S32" s="665"/>
      <c r="T32" s="665"/>
      <c r="U32" s="665"/>
      <c r="V32" s="668"/>
      <c r="W32" s="613"/>
      <c r="X32" s="613"/>
      <c r="Y32" s="666"/>
      <c r="Z32" s="884"/>
      <c r="AA32" s="665"/>
      <c r="AB32" s="665"/>
      <c r="AC32" s="665"/>
      <c r="AD32" s="666"/>
      <c r="AG32" s="79"/>
      <c r="AH32" s="79"/>
      <c r="AI32" s="79"/>
      <c r="AK32" s="222" t="s">
        <v>835</v>
      </c>
      <c r="AL32" s="609">
        <f>AL31*1000</f>
        <v>0.0139</v>
      </c>
      <c r="AM32" s="304" t="s">
        <v>830</v>
      </c>
    </row>
    <row r="33" spans="1:39" ht="13.5" thickBot="1">
      <c r="A33" s="27"/>
      <c r="B33" s="27"/>
      <c r="C33" s="27"/>
      <c r="D33" s="36"/>
      <c r="E33" s="37"/>
      <c r="F33" s="38"/>
      <c r="G33" s="431"/>
      <c r="H33" s="67"/>
      <c r="I33" s="37"/>
      <c r="J33" s="474"/>
      <c r="K33" s="630"/>
      <c r="L33" s="473"/>
      <c r="M33" s="472"/>
      <c r="N33" s="617"/>
      <c r="O33" s="669"/>
      <c r="P33" s="669"/>
      <c r="Q33" s="670"/>
      <c r="R33" s="726"/>
      <c r="S33" s="726"/>
      <c r="T33" s="726"/>
      <c r="U33" s="726"/>
      <c r="V33" s="617"/>
      <c r="W33" s="669"/>
      <c r="X33" s="669"/>
      <c r="Y33" s="670"/>
      <c r="Z33" s="617"/>
      <c r="AA33" s="726"/>
      <c r="AB33" s="726"/>
      <c r="AC33" s="726"/>
      <c r="AD33" s="670"/>
      <c r="AG33" s="79"/>
      <c r="AH33" s="79"/>
      <c r="AI33" s="79"/>
      <c r="AK33" s="222" t="s">
        <v>837</v>
      </c>
      <c r="AL33" s="41">
        <f>0.695*((AL22-AL22*AL23/100)+(AL24-AL24*AL25/100))*(AL26*10^AL27-AL26*10^AL27*AL28/100)</f>
        <v>1.3072949999999998E-05</v>
      </c>
      <c r="AM33" s="423" t="s">
        <v>829</v>
      </c>
    </row>
    <row r="34" spans="1:39" ht="12.75" customHeight="1">
      <c r="A34" s="837" t="s">
        <v>989</v>
      </c>
      <c r="B34" s="838"/>
      <c r="C34" s="839"/>
      <c r="D34" s="861" t="s">
        <v>570</v>
      </c>
      <c r="E34" s="862"/>
      <c r="F34" s="863"/>
      <c r="G34" s="861" t="s">
        <v>573</v>
      </c>
      <c r="H34" s="862"/>
      <c r="I34" s="862"/>
      <c r="J34" s="861" t="s">
        <v>1000</v>
      </c>
      <c r="K34" s="862"/>
      <c r="L34" s="862"/>
      <c r="M34" s="863"/>
      <c r="N34" s="861" t="s">
        <v>981</v>
      </c>
      <c r="O34" s="862"/>
      <c r="P34" s="862"/>
      <c r="Q34" s="863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K34" s="222" t="s">
        <v>837</v>
      </c>
      <c r="AL34" s="609">
        <f>AL33*1000</f>
        <v>0.013072949999999998</v>
      </c>
      <c r="AM34" s="304" t="s">
        <v>830</v>
      </c>
    </row>
    <row r="35" spans="1:39" ht="13.5" thickBot="1">
      <c r="A35" s="15"/>
      <c r="B35" s="16"/>
      <c r="C35" s="78"/>
      <c r="D35" s="419"/>
      <c r="E35" s="41"/>
      <c r="F35" s="420"/>
      <c r="G35" s="419"/>
      <c r="H35" s="41"/>
      <c r="I35" s="732"/>
      <c r="J35" s="419"/>
      <c r="K35" s="41"/>
      <c r="L35" s="41"/>
      <c r="M35" s="420"/>
      <c r="N35" s="419"/>
      <c r="O35" s="41"/>
      <c r="P35" s="732"/>
      <c r="Q35" s="22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102"/>
      <c r="AF35" s="650"/>
      <c r="AG35" s="79"/>
      <c r="AH35" s="79"/>
      <c r="AI35" s="79"/>
      <c r="AK35" s="222" t="s">
        <v>838</v>
      </c>
      <c r="AL35" s="41">
        <f>0.695*((AL22+AL22*AL23/100)+(AL24+AL24*AL25/100))*(AL26*10^AL27+AL26*10^AL27*AL28/100)</f>
        <v>1.474095E-05</v>
      </c>
      <c r="AM35" s="423" t="s">
        <v>829</v>
      </c>
    </row>
    <row r="36" spans="1:39" ht="12.75">
      <c r="A36" s="352" t="s">
        <v>987</v>
      </c>
      <c r="B36" s="384">
        <v>100</v>
      </c>
      <c r="C36" s="78" t="s">
        <v>990</v>
      </c>
      <c r="D36" s="222" t="s">
        <v>333</v>
      </c>
      <c r="E36" s="118">
        <v>11000</v>
      </c>
      <c r="F36" s="421" t="s">
        <v>22</v>
      </c>
      <c r="G36" s="222" t="s">
        <v>333</v>
      </c>
      <c r="H36" s="118">
        <v>91</v>
      </c>
      <c r="I36" s="733" t="s">
        <v>22</v>
      </c>
      <c r="J36" s="222"/>
      <c r="K36" s="221" t="s">
        <v>894</v>
      </c>
      <c r="L36" s="118">
        <v>708.4</v>
      </c>
      <c r="M36" s="423" t="s">
        <v>3</v>
      </c>
      <c r="N36" s="864" t="s">
        <v>984</v>
      </c>
      <c r="O36" s="865"/>
      <c r="P36" s="118">
        <v>0.1</v>
      </c>
      <c r="Q36" s="304" t="s">
        <v>48</v>
      </c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93"/>
      <c r="AF36" s="651"/>
      <c r="AG36" s="261"/>
      <c r="AH36" s="93"/>
      <c r="AI36" s="79"/>
      <c r="AK36" s="222" t="s">
        <v>838</v>
      </c>
      <c r="AL36" s="609">
        <f>AL35*1000</f>
        <v>0.01474095</v>
      </c>
      <c r="AM36" s="304" t="s">
        <v>830</v>
      </c>
    </row>
    <row r="37" spans="1:39" ht="13.5" thickBot="1">
      <c r="A37" s="352" t="s">
        <v>988</v>
      </c>
      <c r="B37" s="723">
        <v>3300</v>
      </c>
      <c r="C37" s="78" t="s">
        <v>76</v>
      </c>
      <c r="D37" s="222" t="s">
        <v>334</v>
      </c>
      <c r="E37" s="119">
        <v>1000000</v>
      </c>
      <c r="F37" s="421" t="s">
        <v>22</v>
      </c>
      <c r="G37" s="222" t="s">
        <v>334</v>
      </c>
      <c r="H37" s="119">
        <v>520</v>
      </c>
      <c r="I37" s="733" t="s">
        <v>22</v>
      </c>
      <c r="J37" s="864" t="s">
        <v>1001</v>
      </c>
      <c r="K37" s="865"/>
      <c r="L37" s="119">
        <v>390000</v>
      </c>
      <c r="M37" s="421" t="s">
        <v>22</v>
      </c>
      <c r="N37" s="864" t="s">
        <v>330</v>
      </c>
      <c r="O37" s="865"/>
      <c r="P37" s="141">
        <v>-6</v>
      </c>
      <c r="Q37" s="82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93"/>
      <c r="AF37" s="651"/>
      <c r="AG37" s="261"/>
      <c r="AH37" s="93"/>
      <c r="AI37" s="79"/>
      <c r="AK37" s="425"/>
      <c r="AL37" s="371"/>
      <c r="AM37" s="29"/>
    </row>
    <row r="38" spans="1:39" ht="13.5" thickBot="1">
      <c r="A38" s="352" t="s">
        <v>348</v>
      </c>
      <c r="B38" s="385">
        <v>3000</v>
      </c>
      <c r="C38" s="78" t="s">
        <v>76</v>
      </c>
      <c r="D38" s="422"/>
      <c r="E38" s="371"/>
      <c r="F38" s="420"/>
      <c r="G38" s="422"/>
      <c r="H38" s="371"/>
      <c r="I38" s="732"/>
      <c r="J38" s="419"/>
      <c r="K38" s="371"/>
      <c r="L38" s="371"/>
      <c r="M38" s="420"/>
      <c r="N38" s="864" t="s">
        <v>983</v>
      </c>
      <c r="O38" s="865"/>
      <c r="P38" s="119">
        <v>1000000</v>
      </c>
      <c r="Q38" s="82" t="s">
        <v>22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40"/>
      <c r="AF38" s="650"/>
      <c r="AG38" s="261"/>
      <c r="AH38" s="93"/>
      <c r="AI38" s="210"/>
      <c r="AJ38" s="210"/>
      <c r="AK38" s="222" t="s">
        <v>839</v>
      </c>
      <c r="AL38" s="610" t="s">
        <v>840</v>
      </c>
      <c r="AM38" s="304"/>
    </row>
    <row r="39" spans="1:39" ht="12.75">
      <c r="A39" s="15"/>
      <c r="B39" s="16"/>
      <c r="C39" s="78"/>
      <c r="D39" s="183" t="s">
        <v>569</v>
      </c>
      <c r="E39" s="24" t="s">
        <v>979</v>
      </c>
      <c r="F39" s="423"/>
      <c r="G39" s="183" t="s">
        <v>569</v>
      </c>
      <c r="H39" s="24" t="s">
        <v>980</v>
      </c>
      <c r="I39" s="734"/>
      <c r="J39" s="425"/>
      <c r="K39" s="371"/>
      <c r="L39" s="371"/>
      <c r="M39" s="423"/>
      <c r="N39" s="183"/>
      <c r="O39" s="24"/>
      <c r="P39" s="734"/>
      <c r="Q39" s="22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11"/>
      <c r="AF39" s="652"/>
      <c r="AG39" s="197"/>
      <c r="AH39" s="197"/>
      <c r="AI39" s="197"/>
      <c r="AJ39" s="210"/>
      <c r="AK39" s="222" t="s">
        <v>839</v>
      </c>
      <c r="AL39" s="41">
        <f>0.695*AL24*AL26*10^AL27</f>
        <v>6.9499999999999995E-06</v>
      </c>
      <c r="AM39" s="424" t="s">
        <v>829</v>
      </c>
    </row>
    <row r="40" spans="1:39" ht="12.75">
      <c r="A40" s="840" t="s">
        <v>991</v>
      </c>
      <c r="B40" s="841"/>
      <c r="C40" s="842"/>
      <c r="D40" s="222" t="s">
        <v>569</v>
      </c>
      <c r="E40" s="41">
        <f>(E36+E37)/E36</f>
        <v>91.9090909090909</v>
      </c>
      <c r="F40" s="424"/>
      <c r="G40" s="222" t="s">
        <v>569</v>
      </c>
      <c r="H40" s="41">
        <f>H37/H36</f>
        <v>5.714285714285714</v>
      </c>
      <c r="I40" s="735"/>
      <c r="J40" s="866" t="s">
        <v>569</v>
      </c>
      <c r="K40" s="867" t="s">
        <v>1002</v>
      </c>
      <c r="L40" s="751" t="s">
        <v>1003</v>
      </c>
      <c r="M40" s="423"/>
      <c r="N40" s="222"/>
      <c r="O40" s="826" t="s">
        <v>982</v>
      </c>
      <c r="P40" s="739">
        <v>1</v>
      </c>
      <c r="Q40" s="22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102"/>
      <c r="AF40" s="653"/>
      <c r="AG40" s="197"/>
      <c r="AH40" s="197"/>
      <c r="AI40" s="197"/>
      <c r="AJ40" s="79"/>
      <c r="AK40" s="222" t="s">
        <v>839</v>
      </c>
      <c r="AL40" s="609">
        <f>AL39*1000</f>
        <v>0.00695</v>
      </c>
      <c r="AM40" s="304" t="s">
        <v>830</v>
      </c>
    </row>
    <row r="41" spans="1:39" ht="13.5" thickBot="1">
      <c r="A41" s="15"/>
      <c r="B41" s="16"/>
      <c r="C41" s="78"/>
      <c r="D41" s="425"/>
      <c r="E41" s="371"/>
      <c r="F41" s="29"/>
      <c r="G41" s="425"/>
      <c r="H41" s="371"/>
      <c r="I41" s="371"/>
      <c r="J41" s="866"/>
      <c r="K41" s="867"/>
      <c r="L41" s="24" t="s">
        <v>1004</v>
      </c>
      <c r="M41" s="423"/>
      <c r="N41" s="425"/>
      <c r="O41" s="826"/>
      <c r="P41" s="371" t="s">
        <v>985</v>
      </c>
      <c r="Q41" s="2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40"/>
      <c r="AF41" s="40"/>
      <c r="AG41" s="261"/>
      <c r="AH41" s="79"/>
      <c r="AI41" s="79"/>
      <c r="AJ41" s="79"/>
      <c r="AK41" s="222" t="s">
        <v>841</v>
      </c>
      <c r="AL41" s="41">
        <f>0.695*(AL24-AL24*AL25/100)*(AL26*10^AL27-AL26*10^AL27*AL28/100)</f>
        <v>6.536474999999999E-06</v>
      </c>
      <c r="AM41" s="423" t="s">
        <v>829</v>
      </c>
    </row>
    <row r="42" spans="1:39" ht="13.5" thickBot="1">
      <c r="A42" s="352" t="s">
        <v>569</v>
      </c>
      <c r="B42" s="80">
        <f>(1-B38/B37)*B36</f>
        <v>9.090909090909093</v>
      </c>
      <c r="C42" s="78" t="s">
        <v>990</v>
      </c>
      <c r="D42" s="222" t="s">
        <v>572</v>
      </c>
      <c r="E42" s="145">
        <v>-0.015</v>
      </c>
      <c r="F42" s="22" t="s">
        <v>3</v>
      </c>
      <c r="G42" s="222" t="s">
        <v>572</v>
      </c>
      <c r="H42" s="145">
        <v>1</v>
      </c>
      <c r="I42" s="21" t="s">
        <v>3</v>
      </c>
      <c r="J42" s="222" t="s">
        <v>569</v>
      </c>
      <c r="K42" s="41">
        <f>(1+100000/L37)</f>
        <v>1.2564102564102564</v>
      </c>
      <c r="L42" s="610" t="s">
        <v>990</v>
      </c>
      <c r="M42" s="423"/>
      <c r="N42" s="222"/>
      <c r="O42" s="730"/>
      <c r="P42" s="21"/>
      <c r="Q42" s="22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93"/>
      <c r="AF42" s="79"/>
      <c r="AG42" s="261"/>
      <c r="AH42" s="102"/>
      <c r="AI42" s="79"/>
      <c r="AJ42" s="212"/>
      <c r="AK42" s="222" t="s">
        <v>841</v>
      </c>
      <c r="AL42" s="609">
        <f>AL41*1000</f>
        <v>0.006536474999999999</v>
      </c>
      <c r="AM42" s="304" t="s">
        <v>830</v>
      </c>
    </row>
    <row r="43" spans="1:39" ht="12.75">
      <c r="A43" s="15"/>
      <c r="B43" s="16"/>
      <c r="C43" s="78"/>
      <c r="D43" s="20"/>
      <c r="E43" s="21"/>
      <c r="F43" s="22"/>
      <c r="G43" s="20"/>
      <c r="H43" s="21"/>
      <c r="I43" s="21"/>
      <c r="J43" s="425"/>
      <c r="K43" s="371"/>
      <c r="L43" s="371"/>
      <c r="M43" s="423"/>
      <c r="N43" s="20"/>
      <c r="O43" s="181" t="s">
        <v>982</v>
      </c>
      <c r="P43" s="740">
        <f>1/(2*PI()*P38*P36*10^P37)</f>
        <v>1.5915494309189537</v>
      </c>
      <c r="Q43" s="22" t="s">
        <v>50</v>
      </c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212"/>
      <c r="AJ43" s="212"/>
      <c r="AK43" s="222" t="s">
        <v>842</v>
      </c>
      <c r="AL43" s="41">
        <f>0.695*(AL24+AL24*AL25/100)*(AL26*10^AL27+AL26*10^AL27*AL28/100)</f>
        <v>7.370475E-06</v>
      </c>
      <c r="AM43" s="423" t="s">
        <v>829</v>
      </c>
    </row>
    <row r="44" spans="1:39" ht="12.75">
      <c r="A44" s="15"/>
      <c r="B44" s="16"/>
      <c r="C44" s="78"/>
      <c r="D44" s="641" t="s">
        <v>571</v>
      </c>
      <c r="E44" s="642">
        <f>E42*E40</f>
        <v>-1.3786363636363634</v>
      </c>
      <c r="F44" s="643" t="s">
        <v>3</v>
      </c>
      <c r="G44" s="222" t="s">
        <v>571</v>
      </c>
      <c r="H44" s="41">
        <f>H42*H40</f>
        <v>5.714285714285714</v>
      </c>
      <c r="I44" s="21" t="s">
        <v>3</v>
      </c>
      <c r="J44" s="222" t="s">
        <v>1005</v>
      </c>
      <c r="K44" s="24" t="s">
        <v>1006</v>
      </c>
      <c r="L44" s="371"/>
      <c r="M44" s="423"/>
      <c r="N44" s="222"/>
      <c r="O44" s="41"/>
      <c r="P44" s="21"/>
      <c r="Q44" s="22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102"/>
      <c r="AF44" s="79"/>
      <c r="AG44" s="79"/>
      <c r="AH44" s="79"/>
      <c r="AI44" s="197"/>
      <c r="AJ44" s="93"/>
      <c r="AK44" s="222" t="s">
        <v>842</v>
      </c>
      <c r="AL44" s="609">
        <f>AL43*1000</f>
        <v>0.007370475</v>
      </c>
      <c r="AM44" s="304" t="s">
        <v>830</v>
      </c>
    </row>
    <row r="45" spans="1:39" ht="12.75">
      <c r="A45" s="15"/>
      <c r="B45" s="16"/>
      <c r="C45" s="78"/>
      <c r="D45" s="644"/>
      <c r="E45" s="645"/>
      <c r="F45" s="643"/>
      <c r="G45" s="644"/>
      <c r="H45" s="645"/>
      <c r="I45" s="645"/>
      <c r="J45" s="425"/>
      <c r="K45" s="609">
        <f>L36*K42</f>
        <v>890.0410256410256</v>
      </c>
      <c r="L45" s="24" t="s">
        <v>3</v>
      </c>
      <c r="M45" s="423"/>
      <c r="N45" s="736"/>
      <c r="O45" s="737"/>
      <c r="P45" s="645"/>
      <c r="Q45" s="22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197"/>
      <c r="AJ45" s="198"/>
      <c r="AK45" s="20"/>
      <c r="AL45" s="21"/>
      <c r="AM45" s="22"/>
    </row>
    <row r="46" spans="1:39" ht="12.75">
      <c r="A46" s="15"/>
      <c r="B46" s="16"/>
      <c r="C46" s="78"/>
      <c r="D46" s="644"/>
      <c r="E46" s="645"/>
      <c r="F46" s="643"/>
      <c r="G46" s="644"/>
      <c r="H46" s="645"/>
      <c r="I46" s="645"/>
      <c r="J46" s="736"/>
      <c r="K46" s="737"/>
      <c r="L46" s="645"/>
      <c r="M46" s="22"/>
      <c r="N46" s="736"/>
      <c r="O46" s="737"/>
      <c r="P46" s="645"/>
      <c r="Q46" s="22"/>
      <c r="AG46" s="79"/>
      <c r="AH46" s="79"/>
      <c r="AI46" s="79"/>
      <c r="AK46" s="222" t="s">
        <v>6</v>
      </c>
      <c r="AL46" s="610" t="s">
        <v>975</v>
      </c>
      <c r="AM46" s="304"/>
    </row>
    <row r="47" spans="1:39" ht="12.75">
      <c r="A47" s="15"/>
      <c r="B47" s="16"/>
      <c r="C47" s="78"/>
      <c r="D47" s="644"/>
      <c r="E47" s="645"/>
      <c r="F47" s="643"/>
      <c r="G47" s="649"/>
      <c r="H47" s="645"/>
      <c r="I47" s="645"/>
      <c r="J47" s="738"/>
      <c r="K47" s="737"/>
      <c r="L47" s="645"/>
      <c r="M47" s="22"/>
      <c r="N47" s="738"/>
      <c r="O47" s="737"/>
      <c r="P47" s="645"/>
      <c r="Q47" s="22"/>
      <c r="AG47" s="79"/>
      <c r="AH47" s="79"/>
      <c r="AI47" s="79"/>
      <c r="AK47" s="222" t="s">
        <v>6</v>
      </c>
      <c r="AL47" s="727">
        <f>1.44/(AL26*10^AL27*(AL22+2*AL24))</f>
        <v>48000</v>
      </c>
      <c r="AM47" s="424" t="s">
        <v>50</v>
      </c>
    </row>
    <row r="48" spans="1:39" ht="13.5" thickBot="1">
      <c r="A48" s="15"/>
      <c r="B48" s="16"/>
      <c r="C48" s="78"/>
      <c r="D48" s="644"/>
      <c r="E48" s="645"/>
      <c r="F48" s="643"/>
      <c r="G48" s="649"/>
      <c r="H48" s="645"/>
      <c r="I48" s="645"/>
      <c r="J48" s="738"/>
      <c r="K48" s="737"/>
      <c r="L48" s="645"/>
      <c r="M48" s="22"/>
      <c r="N48" s="738"/>
      <c r="O48" s="737"/>
      <c r="P48" s="645"/>
      <c r="Q48" s="22"/>
      <c r="AK48" s="26"/>
      <c r="AL48" s="27"/>
      <c r="AM48" s="28"/>
    </row>
    <row r="49" spans="1:17" ht="12.75">
      <c r="A49" s="15"/>
      <c r="B49" s="16"/>
      <c r="C49" s="78"/>
      <c r="D49" s="644"/>
      <c r="E49" s="645"/>
      <c r="F49" s="643"/>
      <c r="G49" s="644"/>
      <c r="H49" s="645"/>
      <c r="I49" s="645"/>
      <c r="J49" s="644"/>
      <c r="K49" s="645"/>
      <c r="L49" s="645"/>
      <c r="M49" s="22"/>
      <c r="N49" s="644"/>
      <c r="O49" s="645"/>
      <c r="P49" s="645"/>
      <c r="Q49" s="22"/>
    </row>
    <row r="50" spans="1:17" ht="13.5" thickBot="1">
      <c r="A50" s="313"/>
      <c r="B50" s="314"/>
      <c r="C50" s="134"/>
      <c r="D50" s="646"/>
      <c r="E50" s="647"/>
      <c r="F50" s="648"/>
      <c r="G50" s="646"/>
      <c r="H50" s="647"/>
      <c r="I50" s="647"/>
      <c r="J50" s="646"/>
      <c r="K50" s="647"/>
      <c r="L50" s="647"/>
      <c r="M50" s="28"/>
      <c r="N50" s="646"/>
      <c r="O50" s="647"/>
      <c r="P50" s="647"/>
      <c r="Q50" s="28"/>
    </row>
    <row r="52" spans="35:38" ht="12.75">
      <c r="AI52" s="216"/>
      <c r="AJ52" s="216"/>
      <c r="AK52" s="216"/>
      <c r="AL52" s="216"/>
    </row>
    <row r="53" spans="35:38" ht="12.75">
      <c r="AI53" s="216"/>
      <c r="AJ53" s="216"/>
      <c r="AK53" s="216"/>
      <c r="AL53" s="216"/>
    </row>
    <row r="54" spans="35:38" ht="12.75">
      <c r="AI54" s="216"/>
      <c r="AJ54" s="216"/>
      <c r="AK54" s="216"/>
      <c r="AL54" s="216"/>
    </row>
    <row r="55" spans="35:38" ht="12.75">
      <c r="AI55" s="216"/>
      <c r="AJ55" s="216"/>
      <c r="AK55" s="216"/>
      <c r="AL55" s="216"/>
    </row>
    <row r="56" spans="35:38" ht="12.75">
      <c r="AI56" s="216"/>
      <c r="AJ56" s="216"/>
      <c r="AK56" s="216"/>
      <c r="AL56" s="216"/>
    </row>
    <row r="57" spans="14:38" ht="12.75">
      <c r="N57" s="287"/>
      <c r="AI57" s="216"/>
      <c r="AJ57" s="216"/>
      <c r="AK57" s="216"/>
      <c r="AL57" s="216"/>
    </row>
    <row r="58" spans="1:38" ht="12.75">
      <c r="A58" s="212"/>
      <c r="B58" s="212"/>
      <c r="C58" s="212"/>
      <c r="G58" s="212"/>
      <c r="H58" s="212"/>
      <c r="I58" s="79"/>
      <c r="J58" s="93"/>
      <c r="K58" s="93"/>
      <c r="L58" s="93"/>
      <c r="M58" s="93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79"/>
      <c r="AG58" s="79"/>
      <c r="AH58" s="79"/>
      <c r="AI58" s="212"/>
      <c r="AJ58" s="212"/>
      <c r="AK58" s="92"/>
      <c r="AL58" s="216"/>
    </row>
    <row r="59" spans="1:38" ht="12.7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216"/>
    </row>
    <row r="60" spans="1:38" ht="12.75">
      <c r="A60" s="92"/>
      <c r="B60" s="92"/>
      <c r="C60" s="92"/>
      <c r="D60" s="93"/>
      <c r="E60" s="79"/>
      <c r="F60" s="261"/>
      <c r="G60" s="266"/>
      <c r="H60" s="79"/>
      <c r="I60" s="79"/>
      <c r="J60" s="79"/>
      <c r="K60" s="79"/>
      <c r="L60" s="79"/>
      <c r="M60" s="79"/>
      <c r="N60" s="93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197"/>
      <c r="AJ60" s="93"/>
      <c r="AK60" s="79"/>
      <c r="AL60" s="216"/>
    </row>
    <row r="61" spans="1:38" ht="12.75">
      <c r="A61" s="93"/>
      <c r="B61" s="11"/>
      <c r="C61" s="92"/>
      <c r="D61" s="93"/>
      <c r="E61" s="79"/>
      <c r="F61" s="261"/>
      <c r="G61" s="266"/>
      <c r="H61" s="79"/>
      <c r="I61" s="79"/>
      <c r="J61" s="79"/>
      <c r="K61" s="79"/>
      <c r="L61" s="79"/>
      <c r="M61" s="79"/>
      <c r="N61" s="93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101"/>
      <c r="AF61" s="79"/>
      <c r="AG61" s="79"/>
      <c r="AH61" s="79"/>
      <c r="AI61" s="197"/>
      <c r="AJ61" s="93"/>
      <c r="AK61" s="79"/>
      <c r="AL61" s="216"/>
    </row>
    <row r="62" spans="1:38" ht="12.75">
      <c r="A62" s="92"/>
      <c r="B62" s="92"/>
      <c r="C62" s="92"/>
      <c r="D62" s="92"/>
      <c r="E62" s="79"/>
      <c r="F62" s="261"/>
      <c r="G62" s="266"/>
      <c r="H62" s="79"/>
      <c r="I62" s="92"/>
      <c r="J62" s="92"/>
      <c r="K62" s="92"/>
      <c r="L62" s="92"/>
      <c r="M62" s="92"/>
      <c r="N62" s="93"/>
      <c r="O62" s="92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93"/>
      <c r="AK62" s="79"/>
      <c r="AL62" s="216"/>
    </row>
    <row r="63" spans="1:38" ht="12.75">
      <c r="A63" s="11"/>
      <c r="B63" s="11"/>
      <c r="C63" s="92"/>
      <c r="D63" s="11"/>
      <c r="E63" s="79"/>
      <c r="F63" s="79"/>
      <c r="G63" s="79"/>
      <c r="H63" s="79"/>
      <c r="I63" s="92"/>
      <c r="J63" s="92"/>
      <c r="K63" s="92"/>
      <c r="L63" s="92"/>
      <c r="M63" s="92"/>
      <c r="N63" s="93"/>
      <c r="O63" s="92"/>
      <c r="P63" s="79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197"/>
      <c r="AJ63" s="197"/>
      <c r="AK63" s="197"/>
      <c r="AL63" s="216"/>
    </row>
    <row r="64" spans="1:38" ht="12.75">
      <c r="A64" s="92"/>
      <c r="B64" s="92"/>
      <c r="C64" s="92"/>
      <c r="D64" s="92"/>
      <c r="E64" s="79"/>
      <c r="F64" s="79"/>
      <c r="G64" s="79"/>
      <c r="H64" s="79"/>
      <c r="I64" s="79"/>
      <c r="J64" s="79"/>
      <c r="K64" s="79"/>
      <c r="L64" s="79"/>
      <c r="M64" s="79"/>
      <c r="N64" s="93"/>
      <c r="O64" s="79"/>
      <c r="P64" s="79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197"/>
      <c r="AJ64" s="102"/>
      <c r="AK64" s="79"/>
      <c r="AL64" s="216"/>
    </row>
    <row r="65" spans="1:38" ht="12.75">
      <c r="A65" s="92"/>
      <c r="B65" s="92"/>
      <c r="C65" s="92"/>
      <c r="D65" s="92"/>
      <c r="E65" s="79"/>
      <c r="F65" s="79"/>
      <c r="G65" s="79"/>
      <c r="H65" s="79"/>
      <c r="I65" s="79"/>
      <c r="J65" s="79"/>
      <c r="K65" s="79"/>
      <c r="L65" s="79"/>
      <c r="M65" s="79"/>
      <c r="N65" s="102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216"/>
    </row>
    <row r="66" spans="1:38" ht="12.75">
      <c r="A66" s="92"/>
      <c r="B66" s="92"/>
      <c r="C66" s="92"/>
      <c r="D66" s="92"/>
      <c r="E66" s="79"/>
      <c r="I66" s="79"/>
      <c r="J66" s="79"/>
      <c r="K66" s="79"/>
      <c r="L66" s="79"/>
      <c r="M66" s="79"/>
      <c r="N66" s="102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212"/>
      <c r="AJ66" s="212"/>
      <c r="AK66" s="79"/>
      <c r="AL66" s="216"/>
    </row>
    <row r="67" spans="1:38" ht="12.75">
      <c r="A67" s="102"/>
      <c r="B67" s="11"/>
      <c r="C67" s="92"/>
      <c r="D67" s="102"/>
      <c r="E67" s="79"/>
      <c r="I67" s="79"/>
      <c r="J67" s="101"/>
      <c r="K67" s="101"/>
      <c r="L67" s="101"/>
      <c r="M67" s="101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101"/>
      <c r="AF67" s="79"/>
      <c r="AG67" s="79"/>
      <c r="AH67" s="79"/>
      <c r="AI67" s="79"/>
      <c r="AJ67" s="79"/>
      <c r="AK67" s="79"/>
      <c r="AL67" s="216"/>
    </row>
    <row r="68" spans="1:38" ht="12.75">
      <c r="A68" s="92"/>
      <c r="B68" s="92"/>
      <c r="C68" s="92"/>
      <c r="D68" s="92"/>
      <c r="E68" s="79"/>
      <c r="I68" s="79"/>
      <c r="J68" s="101"/>
      <c r="K68" s="101"/>
      <c r="L68" s="101"/>
      <c r="M68" s="101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101"/>
      <c r="AF68" s="79"/>
      <c r="AG68" s="79"/>
      <c r="AH68" s="79"/>
      <c r="AI68" s="197"/>
      <c r="AJ68" s="93"/>
      <c r="AK68" s="79"/>
      <c r="AL68" s="216"/>
    </row>
    <row r="69" spans="1:38" ht="12.75">
      <c r="A69" s="92"/>
      <c r="B69" s="92"/>
      <c r="C69" s="92"/>
      <c r="D69" s="92"/>
      <c r="E69" s="79"/>
      <c r="I69" s="79"/>
      <c r="J69" s="79"/>
      <c r="K69" s="79"/>
      <c r="L69" s="79"/>
      <c r="M69" s="79"/>
      <c r="N69" s="93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197"/>
      <c r="AJ69" s="93"/>
      <c r="AK69" s="40"/>
      <c r="AL69" s="216"/>
    </row>
    <row r="70" spans="1:38" ht="12.75">
      <c r="A70" s="870"/>
      <c r="B70" s="870"/>
      <c r="C70" s="870"/>
      <c r="D70" s="870"/>
      <c r="E70" s="79"/>
      <c r="I70" s="79"/>
      <c r="J70" s="79"/>
      <c r="K70" s="79"/>
      <c r="L70" s="79"/>
      <c r="M70" s="79"/>
      <c r="N70" s="102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101"/>
      <c r="AF70" s="79"/>
      <c r="AG70" s="79"/>
      <c r="AH70" s="79"/>
      <c r="AI70" s="79"/>
      <c r="AJ70" s="79"/>
      <c r="AK70" s="79"/>
      <c r="AL70" s="216"/>
    </row>
    <row r="71" spans="1:38" ht="12.75">
      <c r="A71" s="79"/>
      <c r="B71" s="79"/>
      <c r="C71" s="79"/>
      <c r="D71" s="79"/>
      <c r="E71" s="79"/>
      <c r="I71" s="79"/>
      <c r="J71" s="79"/>
      <c r="K71" s="79"/>
      <c r="L71" s="79"/>
      <c r="M71" s="79"/>
      <c r="N71" s="102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101"/>
      <c r="AF71" s="79"/>
      <c r="AG71" s="79"/>
      <c r="AH71" s="79"/>
      <c r="AI71" s="79"/>
      <c r="AJ71" s="79"/>
      <c r="AK71" s="40"/>
      <c r="AL71" s="216"/>
    </row>
    <row r="72" spans="1:38" ht="12.75">
      <c r="A72" s="93"/>
      <c r="B72" s="11"/>
      <c r="C72" s="92"/>
      <c r="D72" s="93"/>
      <c r="E72" s="79"/>
      <c r="I72" s="79"/>
      <c r="J72" s="79"/>
      <c r="K72" s="79"/>
      <c r="L72" s="79"/>
      <c r="M72" s="79"/>
      <c r="N72" s="93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92"/>
      <c r="AG72" s="92"/>
      <c r="AH72" s="92"/>
      <c r="AI72" s="197"/>
      <c r="AJ72" s="209"/>
      <c r="AK72" s="40"/>
      <c r="AL72" s="216"/>
    </row>
    <row r="73" spans="1:38" ht="12.75">
      <c r="A73" s="93"/>
      <c r="B73" s="92"/>
      <c r="C73" s="92"/>
      <c r="D73" s="93"/>
      <c r="E73" s="79"/>
      <c r="I73" s="79"/>
      <c r="J73" s="79"/>
      <c r="K73" s="79"/>
      <c r="L73" s="79"/>
      <c r="M73" s="79"/>
      <c r="N73" s="102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92"/>
      <c r="AG73" s="92"/>
      <c r="AH73" s="92"/>
      <c r="AI73" s="79"/>
      <c r="AJ73" s="79"/>
      <c r="AK73" s="79"/>
      <c r="AL73" s="216"/>
    </row>
    <row r="74" spans="1:38" ht="12.75">
      <c r="A74" s="93"/>
      <c r="B74" s="92"/>
      <c r="C74" s="92"/>
      <c r="D74" s="11"/>
      <c r="E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92"/>
      <c r="AG74" s="92"/>
      <c r="AH74" s="92"/>
      <c r="AI74" s="212"/>
      <c r="AJ74" s="212"/>
      <c r="AK74" s="79"/>
      <c r="AL74" s="216"/>
    </row>
    <row r="75" spans="1:38" ht="12.75">
      <c r="A75" s="11"/>
      <c r="B75" s="11"/>
      <c r="C75" s="92"/>
      <c r="D75" s="11"/>
      <c r="E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101"/>
      <c r="AF75" s="79"/>
      <c r="AG75" s="79"/>
      <c r="AH75" s="79"/>
      <c r="AI75" s="79"/>
      <c r="AJ75" s="79"/>
      <c r="AK75" s="79"/>
      <c r="AL75" s="216"/>
    </row>
    <row r="76" spans="1:38" ht="12.75">
      <c r="A76" s="92"/>
      <c r="B76" s="92"/>
      <c r="C76" s="92"/>
      <c r="D76" s="92"/>
      <c r="E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261"/>
      <c r="AJ76" s="40"/>
      <c r="AK76" s="79"/>
      <c r="AL76" s="216"/>
    </row>
    <row r="77" spans="1:38" ht="15">
      <c r="A77" s="92"/>
      <c r="B77" s="92"/>
      <c r="C77" s="92"/>
      <c r="D77" s="92"/>
      <c r="E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101"/>
      <c r="AF77" s="79"/>
      <c r="AG77" s="79"/>
      <c r="AH77" s="79"/>
      <c r="AI77" s="261"/>
      <c r="AJ77" s="262"/>
      <c r="AK77" s="79"/>
      <c r="AL77" s="216"/>
    </row>
    <row r="78" spans="1:38" ht="12.75">
      <c r="A78" s="92"/>
      <c r="B78" s="92"/>
      <c r="C78" s="92"/>
      <c r="D78" s="92"/>
      <c r="E78" s="79"/>
      <c r="F78" s="92"/>
      <c r="G78" s="92"/>
      <c r="H78" s="92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101"/>
      <c r="AF78" s="79"/>
      <c r="AG78" s="79"/>
      <c r="AH78" s="79"/>
      <c r="AI78" s="79"/>
      <c r="AJ78" s="40"/>
      <c r="AK78" s="79"/>
      <c r="AL78" s="216"/>
    </row>
    <row r="79" spans="1:38" ht="12.75">
      <c r="A79" s="102"/>
      <c r="B79" s="11"/>
      <c r="C79" s="92"/>
      <c r="D79" s="102"/>
      <c r="E79" s="79"/>
      <c r="F79" s="79"/>
      <c r="G79" s="102"/>
      <c r="H79" s="11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92"/>
      <c r="AG79" s="92"/>
      <c r="AH79" s="92"/>
      <c r="AI79" s="79"/>
      <c r="AJ79" s="40"/>
      <c r="AK79" s="79"/>
      <c r="AL79" s="216"/>
    </row>
    <row r="80" spans="1:38" ht="12.75">
      <c r="A80" s="102"/>
      <c r="B80" s="11"/>
      <c r="C80" s="92"/>
      <c r="D80" s="92"/>
      <c r="E80" s="79"/>
      <c r="F80" s="92"/>
      <c r="G80" s="92"/>
      <c r="H80" s="92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92"/>
      <c r="AG80" s="92"/>
      <c r="AH80" s="92"/>
      <c r="AI80" s="261"/>
      <c r="AJ80" s="102"/>
      <c r="AK80" s="79"/>
      <c r="AL80" s="216"/>
    </row>
    <row r="81" spans="1:38" ht="12.75">
      <c r="A81" s="92"/>
      <c r="B81" s="92"/>
      <c r="C81" s="92"/>
      <c r="D81" s="92"/>
      <c r="E81" s="79"/>
      <c r="F81" s="92"/>
      <c r="G81" s="92"/>
      <c r="H81" s="92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92"/>
      <c r="AG81" s="92"/>
      <c r="AH81" s="92"/>
      <c r="AI81" s="79"/>
      <c r="AJ81" s="79"/>
      <c r="AK81" s="79"/>
      <c r="AL81" s="216"/>
    </row>
    <row r="82" spans="16:38" ht="12.75">
      <c r="P82" s="197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92"/>
      <c r="AG82" s="92"/>
      <c r="AH82" s="92"/>
      <c r="AI82" s="216"/>
      <c r="AJ82" s="216"/>
      <c r="AK82" s="216"/>
      <c r="AL82" s="216"/>
    </row>
    <row r="83" spans="16:38" ht="12.75">
      <c r="P83" s="197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101"/>
      <c r="AF83" s="79"/>
      <c r="AG83" s="79"/>
      <c r="AH83" s="79"/>
      <c r="AI83" s="216"/>
      <c r="AJ83" s="216"/>
      <c r="AK83" s="216"/>
      <c r="AL83" s="216"/>
    </row>
    <row r="84" spans="16:38" ht="12.75"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216"/>
      <c r="AJ84" s="216"/>
      <c r="AK84" s="216"/>
      <c r="AL84" s="216"/>
    </row>
    <row r="85" spans="16:38" ht="12.75"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101"/>
      <c r="AF85" s="79"/>
      <c r="AG85" s="79"/>
      <c r="AH85" s="79"/>
      <c r="AI85" s="216"/>
      <c r="AJ85" s="216"/>
      <c r="AK85" s="216"/>
      <c r="AL85" s="216"/>
    </row>
    <row r="86" spans="9:34" ht="12.75">
      <c r="I86" s="79"/>
      <c r="J86" s="79"/>
      <c r="K86" s="79"/>
      <c r="L86" s="79"/>
      <c r="M86" s="79"/>
      <c r="N86" s="102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101"/>
      <c r="AF86" s="79"/>
      <c r="AG86" s="79"/>
      <c r="AH86" s="79"/>
    </row>
    <row r="87" spans="9:34" ht="12.75">
      <c r="I87" s="79"/>
      <c r="J87" s="79"/>
      <c r="K87" s="79"/>
      <c r="L87" s="79"/>
      <c r="M87" s="79"/>
      <c r="N87" s="11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92"/>
      <c r="AG87" s="92"/>
      <c r="AH87" s="92"/>
    </row>
    <row r="88" spans="9:34" ht="12.75">
      <c r="I88" s="79"/>
      <c r="J88" s="79"/>
      <c r="K88" s="79"/>
      <c r="L88" s="79"/>
      <c r="M88" s="79"/>
      <c r="N88" s="102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92"/>
      <c r="AG88" s="92"/>
      <c r="AH88" s="92"/>
    </row>
    <row r="89" spans="9:34" ht="12.75">
      <c r="I89" s="79"/>
      <c r="J89" s="101"/>
      <c r="K89" s="101"/>
      <c r="L89" s="101"/>
      <c r="M89" s="101"/>
      <c r="N89" s="102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92"/>
      <c r="AG89" s="92"/>
      <c r="AH89" s="92"/>
    </row>
    <row r="90" spans="9:34" ht="12.75">
      <c r="I90" s="79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79"/>
      <c r="AG90" s="79"/>
      <c r="AH90" s="79"/>
    </row>
    <row r="91" spans="9:34" ht="12.75"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</row>
    <row r="92" spans="9:34" ht="12.75">
      <c r="I92" s="79"/>
      <c r="J92" s="79"/>
      <c r="K92" s="79"/>
      <c r="L92" s="79"/>
      <c r="M92" s="79"/>
      <c r="N92" s="40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</row>
    <row r="93" spans="9:34" ht="12.75">
      <c r="I93" s="79"/>
      <c r="J93" s="79"/>
      <c r="K93" s="79"/>
      <c r="L93" s="79"/>
      <c r="M93" s="79"/>
      <c r="N93" s="40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101"/>
      <c r="AF93" s="79"/>
      <c r="AG93" s="79"/>
      <c r="AH93" s="79"/>
    </row>
    <row r="94" spans="9:34" ht="12.75">
      <c r="I94" s="92"/>
      <c r="J94" s="92"/>
      <c r="K94" s="92"/>
      <c r="L94" s="92"/>
      <c r="M94" s="92"/>
      <c r="N94" s="11"/>
      <c r="O94" s="92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</row>
    <row r="95" spans="9:34" ht="12.75">
      <c r="I95" s="92"/>
      <c r="J95" s="92"/>
      <c r="K95" s="92"/>
      <c r="L95" s="92"/>
      <c r="M95" s="92"/>
      <c r="N95" s="11"/>
      <c r="O95" s="92"/>
      <c r="P95" s="79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</row>
    <row r="96" spans="9:34" ht="12.75">
      <c r="I96" s="79"/>
      <c r="J96" s="79"/>
      <c r="K96" s="79"/>
      <c r="L96" s="79"/>
      <c r="M96" s="79"/>
      <c r="N96" s="11"/>
      <c r="O96" s="79"/>
      <c r="P96" s="79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</row>
    <row r="97" spans="9:34" ht="12.75">
      <c r="I97" s="79"/>
      <c r="J97" s="79"/>
      <c r="K97" s="79"/>
      <c r="L97" s="79"/>
      <c r="M97" s="79"/>
      <c r="N97" s="102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</row>
    <row r="98" spans="9:34" ht="12.75">
      <c r="I98" s="79"/>
      <c r="J98" s="79"/>
      <c r="K98" s="79"/>
      <c r="L98" s="79"/>
      <c r="M98" s="79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</row>
    <row r="99" spans="9:34" ht="12.75">
      <c r="I99" s="79"/>
      <c r="J99" s="101"/>
      <c r="K99" s="101"/>
      <c r="L99" s="101"/>
      <c r="M99" s="101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101"/>
      <c r="AF99" s="79"/>
      <c r="AG99" s="79"/>
      <c r="AH99" s="79"/>
    </row>
    <row r="100" spans="9:34" ht="12.75">
      <c r="I100" s="79"/>
      <c r="J100" s="101"/>
      <c r="K100" s="101"/>
      <c r="L100" s="101"/>
      <c r="M100" s="101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101"/>
      <c r="AF100" s="79"/>
      <c r="AG100" s="79"/>
      <c r="AH100" s="79"/>
    </row>
    <row r="101" spans="9:34" ht="12.75">
      <c r="I101" s="79"/>
      <c r="J101" s="79"/>
      <c r="K101" s="79"/>
      <c r="L101" s="79"/>
      <c r="M101" s="79"/>
      <c r="N101" s="40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</row>
    <row r="102" spans="9:34" ht="12.75">
      <c r="I102" s="79"/>
      <c r="J102" s="79"/>
      <c r="K102" s="79"/>
      <c r="L102" s="79"/>
      <c r="M102" s="79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101"/>
      <c r="AF102" s="79"/>
      <c r="AG102" s="79"/>
      <c r="AH102" s="79"/>
    </row>
    <row r="103" spans="9:34" ht="12.75">
      <c r="I103" s="79"/>
      <c r="J103" s="79"/>
      <c r="K103" s="79"/>
      <c r="L103" s="79"/>
      <c r="M103" s="79"/>
      <c r="N103" s="102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101"/>
      <c r="AF103" s="79"/>
      <c r="AG103" s="79"/>
      <c r="AH103" s="79"/>
    </row>
    <row r="104" spans="9:34" ht="12.75">
      <c r="I104" s="79"/>
      <c r="J104" s="79"/>
      <c r="K104" s="79"/>
      <c r="L104" s="79"/>
      <c r="M104" s="79"/>
      <c r="N104" s="11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92"/>
      <c r="AG104" s="92"/>
      <c r="AH104" s="92"/>
    </row>
    <row r="105" spans="9:34" ht="12.75">
      <c r="I105" s="79"/>
      <c r="J105" s="79"/>
      <c r="K105" s="79"/>
      <c r="L105" s="79"/>
      <c r="M105" s="79"/>
      <c r="N105" s="102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92"/>
      <c r="AG105" s="92"/>
      <c r="AH105" s="92"/>
    </row>
    <row r="106" spans="9:34" ht="12.75">
      <c r="I106" s="79"/>
      <c r="J106" s="101"/>
      <c r="K106" s="101"/>
      <c r="L106" s="101"/>
      <c r="M106" s="101"/>
      <c r="N106" s="102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92"/>
      <c r="AG106" s="92"/>
      <c r="AH106" s="92"/>
    </row>
    <row r="107" spans="9:34" ht="12.75">
      <c r="I107" s="79"/>
      <c r="J107" s="101"/>
      <c r="K107" s="101"/>
      <c r="L107" s="101"/>
      <c r="M107" s="101"/>
      <c r="N107" s="40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101"/>
      <c r="AF107" s="79"/>
      <c r="AG107" s="79"/>
      <c r="AH107" s="79"/>
    </row>
    <row r="108" spans="9:34" ht="12.75">
      <c r="I108" s="79"/>
      <c r="J108" s="79"/>
      <c r="K108" s="79"/>
      <c r="L108" s="79"/>
      <c r="M108" s="79"/>
      <c r="N108" s="40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</row>
    <row r="109" spans="9:34" ht="12.75">
      <c r="I109" s="79"/>
      <c r="J109" s="79"/>
      <c r="K109" s="79"/>
      <c r="L109" s="79"/>
      <c r="M109" s="79"/>
      <c r="N109" s="102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101"/>
      <c r="AF109" s="79"/>
      <c r="AG109" s="79"/>
      <c r="AH109" s="79"/>
    </row>
    <row r="110" spans="9:34" ht="12.75">
      <c r="I110" s="79"/>
      <c r="J110" s="79"/>
      <c r="K110" s="79"/>
      <c r="L110" s="79"/>
      <c r="M110" s="79"/>
      <c r="N110" s="102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101"/>
      <c r="AF110" s="79"/>
      <c r="AG110" s="79"/>
      <c r="AH110" s="79"/>
    </row>
    <row r="111" spans="9:34" ht="12.75">
      <c r="I111" s="79"/>
      <c r="J111" s="79"/>
      <c r="K111" s="79"/>
      <c r="L111" s="79"/>
      <c r="M111" s="79"/>
      <c r="N111" s="11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92"/>
      <c r="AG111" s="92"/>
      <c r="AH111" s="92"/>
    </row>
    <row r="112" spans="9:34" ht="12.75">
      <c r="I112" s="79"/>
      <c r="J112" s="79"/>
      <c r="K112" s="79"/>
      <c r="L112" s="79"/>
      <c r="M112" s="79"/>
      <c r="N112" s="102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92"/>
      <c r="AG112" s="92"/>
      <c r="AH112" s="92"/>
    </row>
    <row r="113" spans="9:34" ht="12.75">
      <c r="I113" s="79"/>
      <c r="J113" s="101"/>
      <c r="K113" s="101"/>
      <c r="L113" s="101"/>
      <c r="M113" s="101"/>
      <c r="N113" s="102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92"/>
      <c r="AG113" s="92"/>
      <c r="AH113" s="92"/>
    </row>
  </sheetData>
  <sheetProtection/>
  <mergeCells count="82">
    <mergeCell ref="AK1:AM1"/>
    <mergeCell ref="O2:P2"/>
    <mergeCell ref="N5:O5"/>
    <mergeCell ref="N6:O6"/>
    <mergeCell ref="AF1:AH1"/>
    <mergeCell ref="N1:Q1"/>
    <mergeCell ref="V1:Y1"/>
    <mergeCell ref="W2:X2"/>
    <mergeCell ref="R1:U1"/>
    <mergeCell ref="S2:T2"/>
    <mergeCell ref="A34:C34"/>
    <mergeCell ref="A40:C40"/>
    <mergeCell ref="N22:O22"/>
    <mergeCell ref="N12:O12"/>
    <mergeCell ref="A20:C20"/>
    <mergeCell ref="A30:C30"/>
    <mergeCell ref="J26:M26"/>
    <mergeCell ref="D25:F25"/>
    <mergeCell ref="H24:I25"/>
    <mergeCell ref="O40:O41"/>
    <mergeCell ref="G1:I1"/>
    <mergeCell ref="D20:F20"/>
    <mergeCell ref="G8:I8"/>
    <mergeCell ref="N13:Q13"/>
    <mergeCell ref="N15:O15"/>
    <mergeCell ref="N18:Q18"/>
    <mergeCell ref="N20:O20"/>
    <mergeCell ref="N7:O7"/>
    <mergeCell ref="N8:O8"/>
    <mergeCell ref="N10:O10"/>
    <mergeCell ref="A1:C1"/>
    <mergeCell ref="A13:C13"/>
    <mergeCell ref="D1:F1"/>
    <mergeCell ref="D13:F13"/>
    <mergeCell ref="D7:F7"/>
    <mergeCell ref="A8:C8"/>
    <mergeCell ref="A70:B70"/>
    <mergeCell ref="C70:D70"/>
    <mergeCell ref="N9:O9"/>
    <mergeCell ref="G13:I13"/>
    <mergeCell ref="J14:M14"/>
    <mergeCell ref="D30:F30"/>
    <mergeCell ref="D34:F34"/>
    <mergeCell ref="G34:I34"/>
    <mergeCell ref="A25:C25"/>
    <mergeCell ref="G14:I14"/>
    <mergeCell ref="V24:W24"/>
    <mergeCell ref="N24:O24"/>
    <mergeCell ref="V16:W16"/>
    <mergeCell ref="W19:X19"/>
    <mergeCell ref="V22:W22"/>
    <mergeCell ref="W20:X20"/>
    <mergeCell ref="V21:W21"/>
    <mergeCell ref="J34:M34"/>
    <mergeCell ref="J37:K37"/>
    <mergeCell ref="J40:J41"/>
    <mergeCell ref="K40:K41"/>
    <mergeCell ref="N34:Q34"/>
    <mergeCell ref="N36:O36"/>
    <mergeCell ref="N37:O37"/>
    <mergeCell ref="N38:O38"/>
    <mergeCell ref="W14:X14"/>
    <mergeCell ref="R5:S5"/>
    <mergeCell ref="R6:S6"/>
    <mergeCell ref="R7:S7"/>
    <mergeCell ref="R8:S8"/>
    <mergeCell ref="V8:W8"/>
    <mergeCell ref="V6:W6"/>
    <mergeCell ref="W13:X13"/>
    <mergeCell ref="R9:S9"/>
    <mergeCell ref="R10:S10"/>
    <mergeCell ref="V10:W10"/>
    <mergeCell ref="V5:W5"/>
    <mergeCell ref="V7:W7"/>
    <mergeCell ref="Z1:AD1"/>
    <mergeCell ref="V9:W9"/>
    <mergeCell ref="Z9:AB9"/>
    <mergeCell ref="Z10:AB10"/>
    <mergeCell ref="Z5:AB5"/>
    <mergeCell ref="Z6:AB6"/>
    <mergeCell ref="Z7:AB7"/>
    <mergeCell ref="Z8:AB8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5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11.00390625" style="0" customWidth="1"/>
    <col min="2" max="2" width="12.8515625" style="0" bestFit="1" customWidth="1"/>
    <col min="3" max="3" width="9.28125" style="0" customWidth="1"/>
    <col min="4" max="4" width="11.00390625" style="0" customWidth="1"/>
    <col min="5" max="5" width="11.28125" style="0" customWidth="1"/>
    <col min="6" max="6" width="11.8515625" style="0" customWidth="1"/>
    <col min="7" max="7" width="12.421875" style="0" customWidth="1"/>
    <col min="8" max="8" width="12.7109375" style="0" bestFit="1" customWidth="1"/>
    <col min="9" max="9" width="8.7109375" style="0" customWidth="1"/>
    <col min="10" max="10" width="12.140625" style="0" customWidth="1"/>
    <col min="11" max="11" width="10.7109375" style="0" customWidth="1"/>
    <col min="12" max="12" width="12.28125" style="0" customWidth="1"/>
    <col min="13" max="13" width="12.00390625" style="0" customWidth="1"/>
    <col min="14" max="14" width="12.421875" style="0" customWidth="1"/>
    <col min="15" max="15" width="10.7109375" style="0" customWidth="1"/>
    <col min="16" max="16" width="10.28125" style="0" customWidth="1"/>
    <col min="17" max="17" width="10.7109375" style="0" customWidth="1"/>
    <col min="18" max="18" width="9.28125" style="0" customWidth="1"/>
    <col min="19" max="19" width="11.421875" style="0" customWidth="1"/>
    <col min="20" max="20" width="9.00390625" style="0" customWidth="1"/>
    <col min="21" max="21" width="18.8515625" style="0" hidden="1" customWidth="1"/>
    <col min="22" max="22" width="14.7109375" style="0" hidden="1" customWidth="1"/>
    <col min="23" max="23" width="12.8515625" style="0" hidden="1" customWidth="1"/>
    <col min="24" max="24" width="8.28125" style="0" hidden="1" customWidth="1"/>
    <col min="25" max="25" width="9.421875" style="715" customWidth="1"/>
    <col min="26" max="26" width="10.57421875" style="715" customWidth="1"/>
    <col min="27" max="27" width="10.00390625" style="715" customWidth="1"/>
  </cols>
  <sheetData>
    <row r="1" spans="1:27" ht="12.75">
      <c r="A1" s="819" t="s">
        <v>39</v>
      </c>
      <c r="B1" s="819"/>
      <c r="C1" s="820"/>
      <c r="D1" s="821" t="s">
        <v>83</v>
      </c>
      <c r="E1" s="819"/>
      <c r="F1" s="819"/>
      <c r="G1" s="821" t="s">
        <v>60</v>
      </c>
      <c r="H1" s="819"/>
      <c r="I1" s="820"/>
      <c r="J1" s="819" t="s">
        <v>282</v>
      </c>
      <c r="K1" s="819"/>
      <c r="L1" s="820"/>
      <c r="M1" s="799" t="s">
        <v>203</v>
      </c>
      <c r="N1" s="799"/>
      <c r="O1" s="799"/>
      <c r="P1" s="799"/>
      <c r="Q1" s="824" t="s">
        <v>198</v>
      </c>
      <c r="R1" s="799"/>
      <c r="S1" s="799"/>
      <c r="T1" s="800"/>
      <c r="U1" s="124"/>
      <c r="V1" s="124"/>
      <c r="W1" s="124"/>
      <c r="X1" s="124"/>
      <c r="Y1" s="837" t="s">
        <v>574</v>
      </c>
      <c r="Z1" s="838"/>
      <c r="AA1" s="839"/>
    </row>
    <row r="2" spans="1:27" ht="13.5" thickBot="1">
      <c r="A2" s="8"/>
      <c r="B2" s="8"/>
      <c r="C2" s="9"/>
      <c r="D2" s="8"/>
      <c r="E2" s="8"/>
      <c r="F2" s="8"/>
      <c r="G2" s="7"/>
      <c r="H2" s="8"/>
      <c r="I2" s="9"/>
      <c r="J2" s="8"/>
      <c r="K2" s="8"/>
      <c r="L2" s="9"/>
      <c r="M2" s="836" t="s">
        <v>374</v>
      </c>
      <c r="N2" s="836"/>
      <c r="O2" s="327">
        <v>2</v>
      </c>
      <c r="P2" s="336" t="s">
        <v>3</v>
      </c>
      <c r="Q2" s="835" t="s">
        <v>96</v>
      </c>
      <c r="R2" s="836"/>
      <c r="S2" s="327">
        <v>2</v>
      </c>
      <c r="T2" s="363" t="s">
        <v>3</v>
      </c>
      <c r="U2" s="55" t="s">
        <v>159</v>
      </c>
      <c r="V2" s="55"/>
      <c r="W2" s="55"/>
      <c r="X2" s="55"/>
      <c r="Y2" s="828" t="s">
        <v>938</v>
      </c>
      <c r="Z2" s="829"/>
      <c r="AA2" s="830"/>
    </row>
    <row r="3" spans="1:27" ht="13.5" thickBot="1">
      <c r="A3" s="358" t="s">
        <v>371</v>
      </c>
      <c r="B3" s="118">
        <v>50</v>
      </c>
      <c r="C3" s="360" t="s">
        <v>22</v>
      </c>
      <c r="D3" s="2"/>
      <c r="E3" s="160"/>
      <c r="F3" s="2"/>
      <c r="G3" s="1"/>
      <c r="H3" s="12"/>
      <c r="I3" s="10"/>
      <c r="J3" s="358" t="s">
        <v>371</v>
      </c>
      <c r="K3" s="118">
        <v>50</v>
      </c>
      <c r="L3" s="360" t="s">
        <v>22</v>
      </c>
      <c r="M3" s="834" t="s">
        <v>375</v>
      </c>
      <c r="N3" s="834"/>
      <c r="O3" s="118">
        <v>100</v>
      </c>
      <c r="P3" s="57" t="s">
        <v>22</v>
      </c>
      <c r="Q3" s="833" t="s">
        <v>375</v>
      </c>
      <c r="R3" s="834"/>
      <c r="S3" s="118">
        <v>50</v>
      </c>
      <c r="T3" s="339" t="s">
        <v>22</v>
      </c>
      <c r="U3" s="94" t="s">
        <v>160</v>
      </c>
      <c r="V3" s="94">
        <f>1/(10^(S5/20))</f>
        <v>0.5623413251903491</v>
      </c>
      <c r="W3" s="94"/>
      <c r="X3" s="94"/>
      <c r="Y3" s="688"/>
      <c r="Z3" s="356"/>
      <c r="AA3" s="689"/>
    </row>
    <row r="4" spans="1:27" ht="13.5" thickBot="1">
      <c r="A4" s="358" t="s">
        <v>418</v>
      </c>
      <c r="B4" s="119">
        <f>K48</f>
        <v>10.606601717798211</v>
      </c>
      <c r="C4" s="360" t="s">
        <v>3</v>
      </c>
      <c r="D4" s="358" t="s">
        <v>419</v>
      </c>
      <c r="E4" s="117">
        <v>5</v>
      </c>
      <c r="F4" s="361" t="s">
        <v>1</v>
      </c>
      <c r="G4" s="359" t="s">
        <v>418</v>
      </c>
      <c r="H4" s="145">
        <f>B36</f>
        <v>15.811388300841903</v>
      </c>
      <c r="I4" s="360" t="s">
        <v>3</v>
      </c>
      <c r="J4" s="358" t="s">
        <v>419</v>
      </c>
      <c r="K4" s="144">
        <v>0.1</v>
      </c>
      <c r="L4" s="360" t="s">
        <v>1</v>
      </c>
      <c r="M4" s="834" t="s">
        <v>376</v>
      </c>
      <c r="N4" s="834"/>
      <c r="O4" s="141">
        <v>25</v>
      </c>
      <c r="P4" s="57" t="s">
        <v>22</v>
      </c>
      <c r="Q4" s="833" t="s">
        <v>376</v>
      </c>
      <c r="R4" s="834"/>
      <c r="S4" s="141">
        <v>50</v>
      </c>
      <c r="T4" s="339" t="s">
        <v>22</v>
      </c>
      <c r="U4" s="94" t="s">
        <v>161</v>
      </c>
      <c r="V4" s="94">
        <f>(1-V3)*(S3*O6)/(O6-S3)</f>
        <v>29.27581676091584</v>
      </c>
      <c r="W4" s="94"/>
      <c r="X4" s="94"/>
      <c r="Y4" s="690" t="s">
        <v>575</v>
      </c>
      <c r="Z4" s="691">
        <v>8.5</v>
      </c>
      <c r="AA4" s="689" t="s">
        <v>4</v>
      </c>
    </row>
    <row r="5" spans="1:27" ht="13.5" thickBot="1">
      <c r="A5" s="2"/>
      <c r="B5" s="2"/>
      <c r="C5" s="3"/>
      <c r="D5" s="2"/>
      <c r="E5" s="2"/>
      <c r="F5" s="2"/>
      <c r="G5" s="1"/>
      <c r="H5" s="2"/>
      <c r="I5" s="3"/>
      <c r="J5" s="2"/>
      <c r="K5" s="2"/>
      <c r="L5" s="3"/>
      <c r="M5" s="812" t="s">
        <v>378</v>
      </c>
      <c r="N5" s="812"/>
      <c r="O5" s="140">
        <v>1000</v>
      </c>
      <c r="P5" s="57" t="s">
        <v>22</v>
      </c>
      <c r="Q5" s="811" t="s">
        <v>377</v>
      </c>
      <c r="R5" s="812"/>
      <c r="S5" s="119">
        <v>5</v>
      </c>
      <c r="T5" s="339" t="s">
        <v>4</v>
      </c>
      <c r="U5" s="94" t="s">
        <v>162</v>
      </c>
      <c r="V5" s="94">
        <f>(1-V3)*(O7*S4)/((S4*V3)+(O7*V3))</f>
        <v>31.06841193300539</v>
      </c>
      <c r="W5" s="94"/>
      <c r="X5" s="94"/>
      <c r="Y5" s="690" t="s">
        <v>576</v>
      </c>
      <c r="Z5" s="692">
        <v>9.5</v>
      </c>
      <c r="AA5" s="689" t="s">
        <v>4</v>
      </c>
    </row>
    <row r="6" spans="1:27" ht="13.5" thickBot="1">
      <c r="A6" s="2"/>
      <c r="B6" s="12"/>
      <c r="C6" s="10"/>
      <c r="D6" s="2"/>
      <c r="E6" s="12"/>
      <c r="F6" s="12"/>
      <c r="G6" s="1"/>
      <c r="H6" s="12"/>
      <c r="I6" s="10"/>
      <c r="J6" s="2"/>
      <c r="K6" s="12"/>
      <c r="L6" s="10"/>
      <c r="M6" s="812" t="s">
        <v>379</v>
      </c>
      <c r="N6" s="812"/>
      <c r="O6" s="140">
        <v>198</v>
      </c>
      <c r="P6" s="58" t="s">
        <v>22</v>
      </c>
      <c r="Q6" s="822"/>
      <c r="R6" s="823"/>
      <c r="S6" s="100"/>
      <c r="T6" s="338"/>
      <c r="U6" s="55" t="s">
        <v>163</v>
      </c>
      <c r="V6" s="55">
        <f>1/((1/S3)-(V3*(S4+O7)/(O7*S4)))</f>
        <v>169.11700883627202</v>
      </c>
      <c r="W6" s="55"/>
      <c r="X6" s="55"/>
      <c r="Y6" s="690" t="s">
        <v>577</v>
      </c>
      <c r="Z6" s="693">
        <v>9</v>
      </c>
      <c r="AA6" s="689" t="s">
        <v>4</v>
      </c>
    </row>
    <row r="7" spans="1:27" ht="12.75">
      <c r="A7" s="2"/>
      <c r="B7" s="2"/>
      <c r="C7" s="3"/>
      <c r="D7" s="2"/>
      <c r="E7" s="2"/>
      <c r="F7" s="2"/>
      <c r="G7" s="1"/>
      <c r="H7" s="2"/>
      <c r="I7" s="3"/>
      <c r="J7" s="2"/>
      <c r="K7" s="2"/>
      <c r="L7" s="3"/>
      <c r="M7" s="812" t="s">
        <v>380</v>
      </c>
      <c r="N7" s="812"/>
      <c r="O7" s="140">
        <v>198</v>
      </c>
      <c r="P7" s="58" t="s">
        <v>22</v>
      </c>
      <c r="Q7" s="811" t="s">
        <v>357</v>
      </c>
      <c r="R7" s="812"/>
      <c r="S7" s="115">
        <f>(S4/(S3*10^(S5/10)))^0.5</f>
        <v>0.5623413251903491</v>
      </c>
      <c r="T7" s="338" t="s">
        <v>3</v>
      </c>
      <c r="U7" s="94" t="s">
        <v>164</v>
      </c>
      <c r="V7" s="94">
        <f>1/((1/S3)-(V3/O7)-(V3/S4))</f>
        <v>169.11700883627202</v>
      </c>
      <c r="W7" s="94"/>
      <c r="X7" s="94"/>
      <c r="Y7" s="688"/>
      <c r="Z7" s="694"/>
      <c r="AA7" s="689"/>
    </row>
    <row r="8" spans="1:27" ht="13.5" thickBot="1">
      <c r="A8" s="2"/>
      <c r="B8" s="2"/>
      <c r="C8" s="3"/>
      <c r="D8" s="2"/>
      <c r="E8" s="2"/>
      <c r="F8" s="2"/>
      <c r="G8" s="1"/>
      <c r="H8" s="2"/>
      <c r="I8" s="3"/>
      <c r="J8" s="2"/>
      <c r="K8" s="2"/>
      <c r="L8" s="3"/>
      <c r="M8" s="831" t="s">
        <v>817</v>
      </c>
      <c r="N8" s="832"/>
      <c r="O8" s="119" t="s">
        <v>819</v>
      </c>
      <c r="P8" s="601" t="s">
        <v>820</v>
      </c>
      <c r="Q8" s="576"/>
      <c r="R8" s="577"/>
      <c r="S8" s="115"/>
      <c r="T8" s="338"/>
      <c r="U8" s="94"/>
      <c r="V8" s="94"/>
      <c r="W8" s="94"/>
      <c r="X8" s="94"/>
      <c r="Y8" s="690" t="s">
        <v>579</v>
      </c>
      <c r="Z8" s="426" t="s">
        <v>578</v>
      </c>
      <c r="AA8" s="695"/>
    </row>
    <row r="9" spans="1:27" ht="12.75">
      <c r="A9" s="2" t="s">
        <v>85</v>
      </c>
      <c r="B9" s="2"/>
      <c r="C9" s="3"/>
      <c r="D9" s="813" t="s">
        <v>20</v>
      </c>
      <c r="E9" s="814"/>
      <c r="F9" s="815"/>
      <c r="G9" s="1" t="s">
        <v>61</v>
      </c>
      <c r="H9" s="2"/>
      <c r="I9" s="3"/>
      <c r="J9" s="813" t="s">
        <v>87</v>
      </c>
      <c r="K9" s="814"/>
      <c r="L9" s="815"/>
      <c r="M9" s="138" t="s">
        <v>190</v>
      </c>
      <c r="N9" s="61"/>
      <c r="O9" s="61"/>
      <c r="P9" s="58"/>
      <c r="Q9" s="811" t="s">
        <v>358</v>
      </c>
      <c r="R9" s="812"/>
      <c r="S9" s="123">
        <f>-($S$4*$S$3-$S$3^2*$S$7^2)/(2*$S$3*$S$7-$S$4-$S$3*$S$7^2)</f>
        <v>178.48855913456435</v>
      </c>
      <c r="T9" s="338" t="s">
        <v>22</v>
      </c>
      <c r="U9" s="55" t="s">
        <v>165</v>
      </c>
      <c r="V9" s="55">
        <f>(S4^2+((1-S7)*(S7*S4))+((1-S7)*(S4)))/((1-S7)*(1-S7)-S4)</f>
        <v>-50.87868350027265</v>
      </c>
      <c r="W9" s="55"/>
      <c r="X9" s="55"/>
      <c r="Y9" s="696"/>
      <c r="Z9" s="356">
        <v>2</v>
      </c>
      <c r="AA9" s="697"/>
    </row>
    <row r="10" spans="1:27" ht="13.5" thickBot="1">
      <c r="A10" s="2"/>
      <c r="B10" s="2"/>
      <c r="C10" s="3"/>
      <c r="D10" s="2"/>
      <c r="E10" s="2"/>
      <c r="F10" s="2"/>
      <c r="G10" s="1"/>
      <c r="H10" s="2"/>
      <c r="I10" s="3"/>
      <c r="J10" s="2"/>
      <c r="K10" s="2"/>
      <c r="L10" s="3"/>
      <c r="M10" s="812" t="s">
        <v>381</v>
      </c>
      <c r="N10" s="812"/>
      <c r="O10" s="115">
        <f>(O3+(1/((1/O6)+(1/(O5+(1/((1/O7)+(1/O4))))))))</f>
        <v>265.870769999706</v>
      </c>
      <c r="P10" s="58" t="s">
        <v>22</v>
      </c>
      <c r="Q10" s="811" t="s">
        <v>361</v>
      </c>
      <c r="R10" s="812"/>
      <c r="S10" s="123">
        <f>($S$3*$S$9*$S$4*$S$7)/($S$4*$S$9-$S$3*$S$9*$S$7-$S$4*$S$3)</f>
        <v>178.48855913456435</v>
      </c>
      <c r="T10" s="338" t="s">
        <v>22</v>
      </c>
      <c r="U10" s="55" t="s">
        <v>166</v>
      </c>
      <c r="V10" s="55">
        <f>1/(((1/$S$3)-($S$7*($S$4+$O$7))/($O$7*$S$4))+(1/(((1-$S$7)*($O$7*$S$4)/(($S$4*$S$7)+($O$7*$S$7)))+($O$7*$S$4)/($O$7+$S$4))))</f>
        <v>50.00000000000001</v>
      </c>
      <c r="W10" s="55"/>
      <c r="X10" s="55"/>
      <c r="Y10" s="688"/>
      <c r="Z10" s="356"/>
      <c r="AA10" s="689"/>
    </row>
    <row r="11" spans="1:27" ht="12.75">
      <c r="A11" s="358" t="s">
        <v>423</v>
      </c>
      <c r="B11" s="112">
        <f>20*LOG(B4/(0.001*B3)^0.5)</f>
        <v>33.52182518111362</v>
      </c>
      <c r="C11" s="360" t="s">
        <v>2</v>
      </c>
      <c r="D11" s="358" t="s">
        <v>423</v>
      </c>
      <c r="E11" s="112">
        <f>10*LOG(E4/0.001)</f>
        <v>36.98970004336019</v>
      </c>
      <c r="F11" s="361" t="s">
        <v>2</v>
      </c>
      <c r="G11" s="359" t="s">
        <v>423</v>
      </c>
      <c r="H11" s="112">
        <f>20*LOG(H4/0.000001)</f>
        <v>143.97940008672037</v>
      </c>
      <c r="I11" s="360" t="s">
        <v>59</v>
      </c>
      <c r="J11" s="358" t="s">
        <v>423</v>
      </c>
      <c r="K11" s="111">
        <f>10*LOG(K4/(0.000001^2/K3))</f>
        <v>126.98970004336019</v>
      </c>
      <c r="L11" s="360" t="s">
        <v>59</v>
      </c>
      <c r="M11" s="811" t="s">
        <v>382</v>
      </c>
      <c r="N11" s="812"/>
      <c r="O11" s="115">
        <f>O2/O10</f>
        <v>0.007522451603093531</v>
      </c>
      <c r="P11" s="58" t="s">
        <v>34</v>
      </c>
      <c r="Q11" s="811" t="s">
        <v>362</v>
      </c>
      <c r="R11" s="812"/>
      <c r="S11" s="123">
        <f>((1-$S$7)*($S$3*$S$9))/($S$9-$S$3)</f>
        <v>30.398452121214344</v>
      </c>
      <c r="T11" s="339" t="s">
        <v>22</v>
      </c>
      <c r="U11" s="135" t="s">
        <v>167</v>
      </c>
      <c r="V11" s="136">
        <f>1/(((1/$S$3)-($S$7*($S$4+$O$7))/($O$7*$S$4))+(1/(((1-$S$7)*($O$7*$S$4)/(($S$7*($O$7+$S$4))))+($O$7*$S$4)/($O$7+$S$4))))</f>
        <v>50.00000000000001</v>
      </c>
      <c r="W11" s="94"/>
      <c r="X11" s="55"/>
      <c r="Y11" s="690" t="s">
        <v>579</v>
      </c>
      <c r="Z11" s="698">
        <f>(Z4+Z6-Z5)/2</f>
        <v>4</v>
      </c>
      <c r="AA11" s="689" t="s">
        <v>4</v>
      </c>
    </row>
    <row r="12" spans="1:27" ht="13.5" customHeight="1" thickBot="1">
      <c r="A12" s="2"/>
      <c r="B12" s="2"/>
      <c r="C12" s="3"/>
      <c r="D12" s="2"/>
      <c r="E12" s="2"/>
      <c r="F12" s="2"/>
      <c r="G12" s="1"/>
      <c r="H12" s="2"/>
      <c r="I12" s="3"/>
      <c r="J12" s="2"/>
      <c r="K12" s="2"/>
      <c r="L12" s="3"/>
      <c r="M12" s="811" t="s">
        <v>370</v>
      </c>
      <c r="N12" s="812"/>
      <c r="O12" s="115">
        <f>O2-(O11*O3)</f>
        <v>1.2477548396906468</v>
      </c>
      <c r="P12" s="58" t="s">
        <v>70</v>
      </c>
      <c r="Q12" s="801"/>
      <c r="R12" s="802"/>
      <c r="S12" s="131"/>
      <c r="T12" s="340"/>
      <c r="U12" s="126" t="s">
        <v>168</v>
      </c>
      <c r="V12" s="56">
        <f>1/(((1/$S$3)-($S$7*($S$4+$O$7))/($O$7*$S$4))+(1/(((1-$S$7)*($O$7*$S$4)/(($S$7*($O$7+$S$4))))+($S$7*$O$7*$S$4)/($S$7*($O$7+$S$4)))))</f>
        <v>50.00000000000001</v>
      </c>
      <c r="W12" s="94"/>
      <c r="X12" s="94"/>
      <c r="Y12" s="688"/>
      <c r="Z12" s="694"/>
      <c r="AA12" s="689"/>
    </row>
    <row r="13" spans="1:27" ht="13.5" thickBot="1">
      <c r="A13" s="5"/>
      <c r="B13" s="5"/>
      <c r="C13" s="6"/>
      <c r="D13" s="5"/>
      <c r="E13" s="5"/>
      <c r="F13" s="5"/>
      <c r="G13" s="4"/>
      <c r="H13" s="5"/>
      <c r="I13" s="6"/>
      <c r="J13" s="5"/>
      <c r="K13" s="5"/>
      <c r="L13" s="6"/>
      <c r="M13" s="811" t="s">
        <v>357</v>
      </c>
      <c r="N13" s="812"/>
      <c r="O13" s="115">
        <f>O12*(1/((1/O7)+(1/O4)))/(1/(((1/O7)+(1/O4)))+O5)</f>
        <v>0.027095356246846683</v>
      </c>
      <c r="P13" s="58" t="s">
        <v>70</v>
      </c>
      <c r="Q13" s="138" t="s">
        <v>191</v>
      </c>
      <c r="R13" s="176" t="s">
        <v>199</v>
      </c>
      <c r="S13" s="177">
        <f>S19*(1/((1/O6)+(1/O3)))/(1/(((1/O6)+(1/O3)))+O5)</f>
        <v>0.10838142498738675</v>
      </c>
      <c r="T13" s="363" t="s">
        <v>3</v>
      </c>
      <c r="U13" s="126" t="s">
        <v>169</v>
      </c>
      <c r="V13" s="56">
        <f>1/(((1/$S$3)-($S$7*($S$4+$O$7))/($O$7*$S$4))+(1/((((1-$S$7)*($O$7*$S$4))+($S$7*$O$7*$S$4))/($S$7*($O$7+$S$4)))))</f>
        <v>49.99999999999999</v>
      </c>
      <c r="W13" s="55"/>
      <c r="X13" s="94"/>
      <c r="Y13" s="690" t="s">
        <v>580</v>
      </c>
      <c r="Z13" s="426" t="s">
        <v>581</v>
      </c>
      <c r="AA13" s="695"/>
    </row>
    <row r="14" spans="1:27" ht="12.75">
      <c r="A14" s="821" t="s">
        <v>63</v>
      </c>
      <c r="B14" s="819"/>
      <c r="C14" s="820"/>
      <c r="D14" s="819" t="s">
        <v>63</v>
      </c>
      <c r="E14" s="819"/>
      <c r="F14" s="819"/>
      <c r="G14" s="821" t="s">
        <v>284</v>
      </c>
      <c r="H14" s="819"/>
      <c r="I14" s="820"/>
      <c r="J14" s="819" t="s">
        <v>248</v>
      </c>
      <c r="K14" s="819"/>
      <c r="L14" s="819"/>
      <c r="M14" s="833" t="s">
        <v>363</v>
      </c>
      <c r="N14" s="834"/>
      <c r="O14" s="115">
        <f>IF(O8="NO",10*LOG((O12^2/O15)/(O13^2/O4)),10*LOG((1/O3)/(O13^2/O4)))</f>
        <v>25.04638943150557</v>
      </c>
      <c r="P14" s="57" t="s">
        <v>4</v>
      </c>
      <c r="Q14" s="812" t="s">
        <v>363</v>
      </c>
      <c r="R14" s="812"/>
      <c r="S14" s="115">
        <f>IF(O8="NO",10*LOG((S19^2/S15)/(S13^2/O3)),10*LOG((1/O4)/(S13^2/O3)))</f>
        <v>21.882738265279546</v>
      </c>
      <c r="T14" s="339" t="s">
        <v>4</v>
      </c>
      <c r="U14" s="126" t="s">
        <v>170</v>
      </c>
      <c r="V14" s="56">
        <f>1/(((1/$S$3)-($S$7*($S$4+$O$7))/($O$7*$S$4))+(($S$7*($O$7+$S$4))/(((1-$S$7)*($O$7*$S$4))+($S$7*$O$7*$S$4))))</f>
        <v>50</v>
      </c>
      <c r="W14" s="55"/>
      <c r="X14" s="55"/>
      <c r="Y14" s="699"/>
      <c r="Z14" s="356">
        <v>2</v>
      </c>
      <c r="AA14" s="689"/>
    </row>
    <row r="15" spans="1:27" ht="13.5" thickBot="1">
      <c r="A15" s="7"/>
      <c r="B15" s="8"/>
      <c r="C15" s="9"/>
      <c r="D15" s="8"/>
      <c r="E15" s="8"/>
      <c r="F15" s="8"/>
      <c r="G15" s="7"/>
      <c r="H15" s="8"/>
      <c r="I15" s="9"/>
      <c r="J15" s="8"/>
      <c r="K15" s="8"/>
      <c r="L15" s="8"/>
      <c r="M15" s="833" t="s">
        <v>383</v>
      </c>
      <c r="N15" s="834"/>
      <c r="O15" s="115">
        <f>(1/((1/O6)+(1/(O5+(1/((1/O7)+(1/O4)))))))</f>
        <v>165.87076999970597</v>
      </c>
      <c r="P15" s="58" t="s">
        <v>22</v>
      </c>
      <c r="Q15" s="812" t="s">
        <v>364</v>
      </c>
      <c r="R15" s="812"/>
      <c r="S15" s="115">
        <f>(1/((1/O7)+(1/(O5+(1/((1/O6)+(1/O3)))))))</f>
        <v>166.99504251547222</v>
      </c>
      <c r="T15" s="339" t="s">
        <v>22</v>
      </c>
      <c r="U15" s="126" t="s">
        <v>171</v>
      </c>
      <c r="V15" s="56">
        <f>1/(((1/$S$3)-($S$7*($S$4+$O$7))/($O$7*$S$4))+(($S$7*($O$7+$S$4))/($O$7*$S$4)))</f>
        <v>50</v>
      </c>
      <c r="W15" s="94"/>
      <c r="X15" s="94"/>
      <c r="Y15" s="688"/>
      <c r="Z15" s="694"/>
      <c r="AA15" s="689"/>
    </row>
    <row r="16" spans="1:27" ht="13.5" thickBot="1">
      <c r="A16" s="7"/>
      <c r="B16" s="8"/>
      <c r="C16" s="9"/>
      <c r="D16" s="2"/>
      <c r="E16" s="2"/>
      <c r="F16" s="2"/>
      <c r="G16" s="1"/>
      <c r="H16" s="2"/>
      <c r="I16" s="3"/>
      <c r="J16" s="358" t="s">
        <v>371</v>
      </c>
      <c r="K16" s="118">
        <v>50</v>
      </c>
      <c r="L16" s="361" t="s">
        <v>22</v>
      </c>
      <c r="M16" s="833" t="s">
        <v>365</v>
      </c>
      <c r="N16" s="834"/>
      <c r="O16" s="115">
        <f>(O15-O3)/(O15+O3)</f>
        <v>0.24775483969064674</v>
      </c>
      <c r="P16" s="58"/>
      <c r="Q16" s="834" t="s">
        <v>365</v>
      </c>
      <c r="R16" s="834"/>
      <c r="S16" s="115">
        <f>(S15-O4)/(S15+O4)</f>
        <v>0.7395766091409851</v>
      </c>
      <c r="T16" s="338"/>
      <c r="U16" s="60" t="s">
        <v>172</v>
      </c>
      <c r="V16" s="56">
        <f>1/(($O$7*$S$4/($O$7*$S$4*$S$3))-($S$3*$S$7*($S$4+$O$7))/($O$7*$S$4*$S$3)+(($S$3*$S$7*($O$7+$S$4))/($O$7*$S$4*$S$3)))</f>
        <v>50</v>
      </c>
      <c r="W16" s="61"/>
      <c r="X16" s="61"/>
      <c r="Y16" s="690" t="s">
        <v>580</v>
      </c>
      <c r="Z16" s="698">
        <f>(Z4+Z5-Z6)/2</f>
        <v>4.5</v>
      </c>
      <c r="AA16" s="689" t="s">
        <v>4</v>
      </c>
    </row>
    <row r="17" spans="1:27" ht="13.5" thickBot="1">
      <c r="A17" s="358" t="s">
        <v>418</v>
      </c>
      <c r="B17" s="145">
        <v>1</v>
      </c>
      <c r="C17" s="360" t="s">
        <v>3</v>
      </c>
      <c r="D17" s="358" t="s">
        <v>419</v>
      </c>
      <c r="E17" s="145">
        <v>50</v>
      </c>
      <c r="F17" s="361" t="s">
        <v>1</v>
      </c>
      <c r="G17" s="362" t="s">
        <v>424</v>
      </c>
      <c r="H17" s="149">
        <v>-59.84</v>
      </c>
      <c r="I17" s="360" t="s">
        <v>130</v>
      </c>
      <c r="J17" s="358" t="s">
        <v>422</v>
      </c>
      <c r="K17" s="119">
        <v>127</v>
      </c>
      <c r="L17" s="361" t="s">
        <v>59</v>
      </c>
      <c r="M17" s="811" t="s">
        <v>384</v>
      </c>
      <c r="N17" s="812"/>
      <c r="O17" s="115">
        <f>IF(O16&gt;0,(1+O16)/(1-O16),(1-O16)/(1+O16))</f>
        <v>1.6587076999970596</v>
      </c>
      <c r="P17" s="58"/>
      <c r="Q17" s="812" t="s">
        <v>366</v>
      </c>
      <c r="R17" s="812"/>
      <c r="S17" s="115">
        <f>IF(S16&gt;0,(1+S16)/(1-S16),(1-S16)/(1+S16))</f>
        <v>6.679801700618889</v>
      </c>
      <c r="T17" s="338"/>
      <c r="U17" s="60" t="s">
        <v>173</v>
      </c>
      <c r="V17" s="56">
        <f>1/((($O$7*$S$4)-($S$3*$S$7*($S$4+$O$7))+(($S$3*$S$7*($O$7+$S$4))))/($O$7*$S$4*$S$3))</f>
        <v>50</v>
      </c>
      <c r="W17" s="61"/>
      <c r="X17" s="61"/>
      <c r="Y17" s="688"/>
      <c r="Z17" s="694"/>
      <c r="AA17" s="689"/>
    </row>
    <row r="18" spans="1:27" ht="13.5" thickBot="1">
      <c r="A18" s="1"/>
      <c r="B18" s="2"/>
      <c r="C18" s="360"/>
      <c r="D18" s="358"/>
      <c r="E18" s="2"/>
      <c r="F18" s="361"/>
      <c r="G18" s="362" t="s">
        <v>425</v>
      </c>
      <c r="H18" s="141">
        <v>3</v>
      </c>
      <c r="I18" s="360" t="s">
        <v>132</v>
      </c>
      <c r="J18" s="2"/>
      <c r="K18" s="2"/>
      <c r="L18" s="2"/>
      <c r="M18" s="811" t="s">
        <v>324</v>
      </c>
      <c r="N18" s="812"/>
      <c r="O18" s="115">
        <f>ROUND(20*LOG10(IF(O16&gt;0,O16,O16*-1)),2)*-1</f>
        <v>12.12</v>
      </c>
      <c r="P18" s="58" t="s">
        <v>4</v>
      </c>
      <c r="Q18" s="812" t="s">
        <v>324</v>
      </c>
      <c r="R18" s="812"/>
      <c r="S18" s="115">
        <f>ROUND(20*LOG10(IF(S16&gt;0,S16,S16*-1)),2)*-1</f>
        <v>2.62</v>
      </c>
      <c r="T18" s="338" t="s">
        <v>4</v>
      </c>
      <c r="U18" s="127" t="s">
        <v>165</v>
      </c>
      <c r="V18" s="59">
        <f>($S$3*$O$6*$S$4*$S$7)/(($S$4*$O$6)-($S$3*$O$6*$S$7)-($S$4*$S$3))</f>
        <v>151.874609741317</v>
      </c>
      <c r="W18" s="61"/>
      <c r="X18" s="61"/>
      <c r="Y18" s="690" t="s">
        <v>327</v>
      </c>
      <c r="Z18" s="426" t="s">
        <v>582</v>
      </c>
      <c r="AA18" s="695"/>
    </row>
    <row r="19" spans="1:27" ht="13.5" thickBot="1">
      <c r="A19" s="359" t="s">
        <v>420</v>
      </c>
      <c r="B19" s="145">
        <v>30</v>
      </c>
      <c r="C19" s="360" t="s">
        <v>3</v>
      </c>
      <c r="D19" s="358" t="s">
        <v>421</v>
      </c>
      <c r="E19" s="145">
        <v>1.1167</v>
      </c>
      <c r="F19" s="361" t="s">
        <v>1</v>
      </c>
      <c r="G19" s="362" t="s">
        <v>426</v>
      </c>
      <c r="H19" s="119">
        <v>2.3</v>
      </c>
      <c r="I19" s="360" t="s">
        <v>130</v>
      </c>
      <c r="J19" s="2"/>
      <c r="K19" s="12"/>
      <c r="L19" s="12"/>
      <c r="M19" s="60"/>
      <c r="N19" s="61"/>
      <c r="O19" s="61"/>
      <c r="P19" s="61"/>
      <c r="Q19" s="61"/>
      <c r="R19" s="176" t="s">
        <v>200</v>
      </c>
      <c r="S19" s="178">
        <f>O2*S15/(O4+S15)</f>
        <v>1.7395766091409852</v>
      </c>
      <c r="T19" s="214" t="s">
        <v>3</v>
      </c>
      <c r="U19" s="137" t="s">
        <v>174</v>
      </c>
      <c r="V19" s="74">
        <f>1/(((($S$4*$O$6)-($S$3*$O$6*$S$7)-($S$4*$S$3))/($S$3*$O$6*$S$4*$S$7))+(1/((((1-$S$7)*($S$3*$O$6))/($O$6-$S$3))+(($O$6*$S$3)/($O$6+$S$3)))))</f>
        <v>47.536979585958015</v>
      </c>
      <c r="W19" s="55"/>
      <c r="X19" s="55"/>
      <c r="Y19" s="699"/>
      <c r="Z19" s="356">
        <v>2</v>
      </c>
      <c r="AA19" s="689"/>
    </row>
    <row r="20" spans="1:27" ht="12.75">
      <c r="A20" s="1"/>
      <c r="B20" s="2"/>
      <c r="C20" s="3"/>
      <c r="D20" s="2"/>
      <c r="E20" s="2"/>
      <c r="F20" s="2"/>
      <c r="G20" s="1"/>
      <c r="H20" s="2"/>
      <c r="I20" s="3"/>
      <c r="J20" s="2"/>
      <c r="K20" s="2"/>
      <c r="L20" s="2"/>
      <c r="M20" s="824" t="s">
        <v>204</v>
      </c>
      <c r="N20" s="799"/>
      <c r="O20" s="799"/>
      <c r="P20" s="799"/>
      <c r="Q20" s="824" t="s">
        <v>197</v>
      </c>
      <c r="R20" s="799"/>
      <c r="S20" s="799"/>
      <c r="T20" s="800"/>
      <c r="U20" s="55" t="s">
        <v>175</v>
      </c>
      <c r="V20" s="55">
        <f>1/(((($S$4*$O$6)-($S$3*$O$6*$S$7)-($S$4*$S$3))/($S$3*$O$6*$S$4*$S$7))+(1/((((1-$S$7)*($S$3*$O$6)*($O$6+$S$3))+(($O$6*$S$3)*($O$6-$S$3)))/(($O$6+$S$3)*($O$6-$S$3)))))</f>
        <v>47.536979585958015</v>
      </c>
      <c r="W20" s="125"/>
      <c r="X20" s="125"/>
      <c r="Y20" s="427"/>
      <c r="Z20" s="694"/>
      <c r="AA20" s="689"/>
    </row>
    <row r="21" spans="1:27" ht="13.5" thickBot="1">
      <c r="A21" s="813" t="s">
        <v>751</v>
      </c>
      <c r="B21" s="814"/>
      <c r="C21" s="815"/>
      <c r="D21" s="813" t="s">
        <v>750</v>
      </c>
      <c r="E21" s="814"/>
      <c r="F21" s="815"/>
      <c r="G21" s="1" t="s">
        <v>131</v>
      </c>
      <c r="H21" s="2"/>
      <c r="I21" s="3"/>
      <c r="J21" s="813" t="s">
        <v>88</v>
      </c>
      <c r="K21" s="814"/>
      <c r="L21" s="815"/>
      <c r="M21" s="60"/>
      <c r="N21" s="176" t="s">
        <v>96</v>
      </c>
      <c r="O21" s="327">
        <v>2</v>
      </c>
      <c r="P21" s="336" t="s">
        <v>70</v>
      </c>
      <c r="Q21" s="835" t="s">
        <v>96</v>
      </c>
      <c r="R21" s="836"/>
      <c r="S21" s="327">
        <v>2</v>
      </c>
      <c r="T21" s="363" t="s">
        <v>70</v>
      </c>
      <c r="U21" s="55" t="s">
        <v>176</v>
      </c>
      <c r="V21" s="55">
        <f>1/(((($S$4*$O$6)-($S$3*$O$6*$S$7)-($S$4*$S$3))/($S$3*$O$6*$S$4*$S$7))+((($O$6+$S$3)*($O$6-$S$3))/(((1-$S$7)*($S$3*$O$6)*($O$6+$S$3))+(($O$6*$S$3)*($O$6-$S$3)))))</f>
        <v>47.536979585958015</v>
      </c>
      <c r="W21" s="55"/>
      <c r="X21" s="55"/>
      <c r="Y21" s="690" t="s">
        <v>327</v>
      </c>
      <c r="Z21" s="698">
        <f>(Z5+Z6-Z4)/2</f>
        <v>5</v>
      </c>
      <c r="AA21" s="689" t="s">
        <v>4</v>
      </c>
    </row>
    <row r="22" spans="1:27" ht="13.5" thickBot="1">
      <c r="A22" s="1"/>
      <c r="B22" s="2"/>
      <c r="C22" s="3"/>
      <c r="D22" s="2"/>
      <c r="E22" s="2"/>
      <c r="F22" s="2"/>
      <c r="G22" s="269" t="s">
        <v>135</v>
      </c>
      <c r="H22" s="2"/>
      <c r="I22" s="3"/>
      <c r="J22" s="2"/>
      <c r="K22" s="2"/>
      <c r="L22" s="2"/>
      <c r="M22" s="833" t="s">
        <v>375</v>
      </c>
      <c r="N22" s="834"/>
      <c r="O22" s="118">
        <v>100</v>
      </c>
      <c r="P22" s="57" t="s">
        <v>22</v>
      </c>
      <c r="Q22" s="833" t="s">
        <v>375</v>
      </c>
      <c r="R22" s="834"/>
      <c r="S22" s="118">
        <v>50</v>
      </c>
      <c r="T22" s="339" t="s">
        <v>22</v>
      </c>
      <c r="U22" s="55" t="s">
        <v>178</v>
      </c>
      <c r="V22" s="55">
        <f>$S$4*(((($S$4*$O$6)-($S$3*$O$6*$S$7)-($S$4*$S$3))/($S$3*$O$6*$S$4*$S$7))+((($O$6+$S$3)*($O$6-$S$3))/(((1-$S$7)*($S$3*$O$6)*($O$6+$S$3))+(($O$6*$S$3)*($O$6-$S$3)))))</f>
        <v>1.0518127242305806</v>
      </c>
      <c r="W22" s="94"/>
      <c r="X22" s="94"/>
      <c r="Y22" s="620"/>
      <c r="Z22" s="700"/>
      <c r="AA22" s="701"/>
    </row>
    <row r="23" spans="1:27" ht="12.75">
      <c r="A23" s="359" t="s">
        <v>749</v>
      </c>
      <c r="B23" s="112">
        <f>20*LOG(B17/B19)</f>
        <v>-29.54242509439325</v>
      </c>
      <c r="C23" s="360" t="s">
        <v>4</v>
      </c>
      <c r="D23" s="358" t="s">
        <v>749</v>
      </c>
      <c r="E23" s="112">
        <f>10*LOG(E17/E19)</f>
        <v>16.510334881979396</v>
      </c>
      <c r="F23" s="361" t="s">
        <v>4</v>
      </c>
      <c r="G23" s="1" t="s">
        <v>133</v>
      </c>
      <c r="H23" s="112">
        <f>H17-10*LOG(H18*1000)-H19</f>
        <v>-96.91121254719663</v>
      </c>
      <c r="I23" s="360" t="s">
        <v>134</v>
      </c>
      <c r="J23" s="358" t="s">
        <v>0</v>
      </c>
      <c r="K23" s="112">
        <f>10^(K17/10)*(0.000001^2/K16)</f>
        <v>0.1002374467254544</v>
      </c>
      <c r="L23" s="361" t="s">
        <v>1</v>
      </c>
      <c r="M23" s="833" t="s">
        <v>376</v>
      </c>
      <c r="N23" s="834"/>
      <c r="O23" s="141">
        <v>25</v>
      </c>
      <c r="P23" s="57" t="s">
        <v>22</v>
      </c>
      <c r="Q23" s="833" t="s">
        <v>376</v>
      </c>
      <c r="R23" s="834"/>
      <c r="S23" s="141">
        <v>50</v>
      </c>
      <c r="T23" s="339" t="s">
        <v>22</v>
      </c>
      <c r="U23" s="55" t="s">
        <v>179</v>
      </c>
      <c r="V23" s="55">
        <f>((($S$4*$O$6)-($S$3*$O$6*$S$7)-($S$4*$S$3))/($S$3*$O$6*$S$7))+($S$4*((($O$6+$S$3)*($O$6-$S$3))/((((1-$S$7)*($S$3*$O$6))*($O$6+$S$3))+(($O$6*$S$3)*($O$6-$S$3)))))</f>
        <v>1.0518127242305806</v>
      </c>
      <c r="W23" s="94"/>
      <c r="X23" s="94"/>
      <c r="Y23" s="92"/>
      <c r="Z23" s="702"/>
      <c r="AA23" s="702"/>
    </row>
    <row r="24" spans="1:27" ht="13.5" thickBot="1">
      <c r="A24" s="1"/>
      <c r="B24" s="2"/>
      <c r="C24" s="3"/>
      <c r="D24" s="2"/>
      <c r="E24" s="2"/>
      <c r="F24" s="2"/>
      <c r="G24" s="1"/>
      <c r="H24" s="2"/>
      <c r="I24" s="3"/>
      <c r="J24" s="2"/>
      <c r="K24" s="2"/>
      <c r="L24" s="2"/>
      <c r="M24" s="811" t="s">
        <v>352</v>
      </c>
      <c r="N24" s="812"/>
      <c r="O24" s="140">
        <v>15</v>
      </c>
      <c r="P24" s="57" t="s">
        <v>22</v>
      </c>
      <c r="Q24" s="811" t="s">
        <v>377</v>
      </c>
      <c r="R24" s="812"/>
      <c r="S24" s="119">
        <v>5</v>
      </c>
      <c r="T24" s="339" t="s">
        <v>4</v>
      </c>
      <c r="U24" s="55" t="s">
        <v>180</v>
      </c>
      <c r="V24" s="55">
        <f>((($S$4*$O$6)-($S$3*$O$6*$S$7)-($S$4*$S$3))/($S$3*$O$6*$S$7))+($S$4*((($O$6^2+$S$3*$O$6-$S$3^2-$S$3*$O$6))/(((($S$3*$O$6)-($S$7*$S$3*$O$6))*($O$6+$S$3))+(($O$6^2*$S$3)-($O$6*$S$3^2)))))</f>
        <v>1.0518127242305806</v>
      </c>
      <c r="W24" s="55"/>
      <c r="X24" s="55"/>
      <c r="Y24" s="92"/>
      <c r="Z24" s="702"/>
      <c r="AA24" s="702"/>
    </row>
    <row r="25" spans="1:27" ht="13.5" thickBot="1">
      <c r="A25" s="4"/>
      <c r="B25" s="5"/>
      <c r="C25" s="6"/>
      <c r="D25" s="5"/>
      <c r="E25" s="5"/>
      <c r="F25" s="5"/>
      <c r="G25" s="4"/>
      <c r="H25" s="5"/>
      <c r="I25" s="6"/>
      <c r="J25" s="5"/>
      <c r="K25" s="5"/>
      <c r="L25" s="5"/>
      <c r="M25" s="811" t="s">
        <v>354</v>
      </c>
      <c r="N25" s="812"/>
      <c r="O25" s="140">
        <v>1000</v>
      </c>
      <c r="P25" s="58" t="s">
        <v>22</v>
      </c>
      <c r="Q25" s="822"/>
      <c r="R25" s="823"/>
      <c r="S25" s="175"/>
      <c r="T25" s="338"/>
      <c r="U25" s="55" t="s">
        <v>181</v>
      </c>
      <c r="V25" s="55">
        <f>((($S$4*$O$6)-($S$3*$O$6*$S$7)-($S$4*$S$3))/($S$3*$O$6*$S$7))+($S$4*((($O$6^2+$S$3*$O$6-$S$3^2-$S$3*$O$6))/(((($S$3*$O$6)-($S$7*$S$3*$O$6))*($O$6+$S$3))+(($O$6^2*$S$3)-($O$6*$S$3^2)))))</f>
        <v>1.0518127242305806</v>
      </c>
      <c r="W25" s="55"/>
      <c r="X25" s="55"/>
      <c r="Y25" s="703"/>
      <c r="Z25" s="716"/>
      <c r="AA25" s="704"/>
    </row>
    <row r="26" spans="1:27" ht="12.75">
      <c r="A26" s="819" t="s">
        <v>155</v>
      </c>
      <c r="B26" s="819"/>
      <c r="C26" s="820"/>
      <c r="D26" s="821" t="s">
        <v>82</v>
      </c>
      <c r="E26" s="819"/>
      <c r="F26" s="820"/>
      <c r="G26" s="819" t="s">
        <v>62</v>
      </c>
      <c r="H26" s="819"/>
      <c r="I26" s="820"/>
      <c r="J26" s="816" t="s">
        <v>474</v>
      </c>
      <c r="K26" s="817"/>
      <c r="L26" s="818"/>
      <c r="M26" s="811" t="s">
        <v>353</v>
      </c>
      <c r="N26" s="812"/>
      <c r="O26" s="140">
        <v>15</v>
      </c>
      <c r="P26" s="57" t="s">
        <v>22</v>
      </c>
      <c r="Q26" s="811" t="s">
        <v>357</v>
      </c>
      <c r="R26" s="812"/>
      <c r="S26" s="123">
        <f>(S23/(S22*10^(S24/10)))^0.5</f>
        <v>0.5623413251903491</v>
      </c>
      <c r="T26" s="338" t="s">
        <v>3</v>
      </c>
      <c r="U26" s="55" t="s">
        <v>182</v>
      </c>
      <c r="V26" s="55">
        <f>((($S$4*$O$6)-($S$3*$O$6*$S$7)-($S$4*$S$3))/($S$3*$O$6*$S$7))+(($S$4*$O$6^2)-($S$4*$S$3^2))/((2*$S$3*$O$6^2)-($S$7*$S$3*$O$6^2)-($S$7*$O$6*$S$3^2))</f>
        <v>1.0518127242305806</v>
      </c>
      <c r="W26" s="55"/>
      <c r="X26" s="55"/>
      <c r="Y26" s="705"/>
      <c r="Z26" s="716"/>
      <c r="AA26" s="704"/>
    </row>
    <row r="27" spans="1:27" ht="13.5" thickBot="1">
      <c r="A27" s="160"/>
      <c r="B27" s="160"/>
      <c r="C27" s="602"/>
      <c r="D27" s="603"/>
      <c r="E27" s="160"/>
      <c r="F27" s="602"/>
      <c r="G27" s="160"/>
      <c r="H27" s="160"/>
      <c r="I27" s="602"/>
      <c r="J27" s="604"/>
      <c r="K27" s="605"/>
      <c r="L27" s="606"/>
      <c r="M27" s="831" t="s">
        <v>817</v>
      </c>
      <c r="N27" s="832"/>
      <c r="O27" s="119" t="s">
        <v>818</v>
      </c>
      <c r="P27" s="601" t="s">
        <v>820</v>
      </c>
      <c r="Q27" s="576"/>
      <c r="R27" s="577"/>
      <c r="S27" s="123"/>
      <c r="T27" s="338"/>
      <c r="U27" s="55"/>
      <c r="V27" s="55"/>
      <c r="W27" s="55"/>
      <c r="X27" s="55"/>
      <c r="Y27" s="705"/>
      <c r="Z27" s="219"/>
      <c r="AA27" s="702"/>
    </row>
    <row r="28" spans="1:27" ht="13.5" thickBot="1">
      <c r="A28" s="8"/>
      <c r="B28" s="8"/>
      <c r="C28" s="9"/>
      <c r="D28" s="7"/>
      <c r="E28" s="8"/>
      <c r="F28" s="9"/>
      <c r="G28" s="8"/>
      <c r="H28" s="8"/>
      <c r="I28" s="9"/>
      <c r="J28" s="388"/>
      <c r="K28" s="287"/>
      <c r="L28" s="391"/>
      <c r="M28" s="174" t="s">
        <v>190</v>
      </c>
      <c r="N28" s="61"/>
      <c r="O28" s="61"/>
      <c r="P28" s="58"/>
      <c r="Q28" s="811" t="s">
        <v>427</v>
      </c>
      <c r="R28" s="812"/>
      <c r="S28" s="123">
        <f>S22*(S22*S26^2+S23-2*S23*S26)/(S23-S22*S26^2)</f>
        <v>14.006499980288512</v>
      </c>
      <c r="T28" s="339" t="s">
        <v>22</v>
      </c>
      <c r="U28" s="55" t="s">
        <v>186</v>
      </c>
      <c r="V28" s="128">
        <f>1-(((($S$4*$O$6)-($S$3*$O$6*$S$7)-($S$4*$S$3))/($S$3*$O$6*$S$7)))</f>
        <v>0.6707810470416131</v>
      </c>
      <c r="W28" s="128">
        <f>(($S$4*$O$6^2)-($S$4*$S$3^2))/((2*$S$3*$O$6^2)-($S$7*$S$3*$O$6^2)-($S$7*$O$6*$S$3^2))</f>
        <v>0.7225937712721938</v>
      </c>
      <c r="X28" s="94"/>
      <c r="Y28" s="703"/>
      <c r="Z28" s="102"/>
      <c r="AA28" s="702"/>
    </row>
    <row r="29" spans="1:27" ht="13.5" thickBot="1">
      <c r="A29" s="358" t="s">
        <v>371</v>
      </c>
      <c r="B29" s="118">
        <v>50</v>
      </c>
      <c r="C29" s="360" t="s">
        <v>22</v>
      </c>
      <c r="D29" s="1"/>
      <c r="E29" s="160"/>
      <c r="F29" s="3"/>
      <c r="G29" s="2"/>
      <c r="H29" s="2"/>
      <c r="I29" s="3"/>
      <c r="J29" s="388"/>
      <c r="K29" s="287"/>
      <c r="L29" s="391"/>
      <c r="M29" s="811" t="s">
        <v>381</v>
      </c>
      <c r="N29" s="812"/>
      <c r="O29" s="115">
        <f>O22+O24+(1/(1/O25+(1/(O26+O23))))</f>
        <v>153.46153846153845</v>
      </c>
      <c r="P29" s="58" t="s">
        <v>22</v>
      </c>
      <c r="Q29" s="811" t="s">
        <v>368</v>
      </c>
      <c r="R29" s="812"/>
      <c r="S29" s="123">
        <f>(1-S28/S22-S26)*S23/S26</f>
        <v>14.006499980288503</v>
      </c>
      <c r="T29" s="339" t="s">
        <v>22</v>
      </c>
      <c r="U29" s="55" t="s">
        <v>185</v>
      </c>
      <c r="V29" s="128">
        <f>(($S$3*$O$6*$S$7)/($S$3*$O$6*$S$7))-((($S$4*$O$6)-($S$3*$O$6*$S$7)-($S$4*$S$3))/(($S$3*$O$6*$S$7)))</f>
        <v>0.6707810470416131</v>
      </c>
      <c r="W29" s="128">
        <f>(($S$4*$O$6^2)-($S$4*$S$3^2))/(($S$3*$O$6)*((2*$O$6)-($S$7*$O$6)-($S$7*$S$3)))</f>
        <v>0.7225937712721938</v>
      </c>
      <c r="X29" s="55"/>
      <c r="Y29" s="213"/>
      <c r="Z29" s="102"/>
      <c r="AA29" s="702"/>
    </row>
    <row r="30" spans="1:27" ht="13.5" thickBot="1">
      <c r="A30" s="358" t="s">
        <v>422</v>
      </c>
      <c r="B30" s="119">
        <f>E11</f>
        <v>36.98970004336019</v>
      </c>
      <c r="C30" s="360" t="s">
        <v>2</v>
      </c>
      <c r="D30" s="359" t="s">
        <v>422</v>
      </c>
      <c r="E30" s="145">
        <f>B11</f>
        <v>33.52182518111362</v>
      </c>
      <c r="F30" s="360" t="s">
        <v>2</v>
      </c>
      <c r="G30" s="358" t="s">
        <v>422</v>
      </c>
      <c r="H30" s="145">
        <v>79</v>
      </c>
      <c r="I30" s="360" t="s">
        <v>59</v>
      </c>
      <c r="J30" s="388"/>
      <c r="K30" s="287"/>
      <c r="L30" s="391"/>
      <c r="M30" s="811" t="s">
        <v>382</v>
      </c>
      <c r="N30" s="812"/>
      <c r="O30" s="115">
        <f>O21/O29</f>
        <v>0.013032581453634087</v>
      </c>
      <c r="P30" s="58" t="s">
        <v>34</v>
      </c>
      <c r="Q30" s="811" t="s">
        <v>369</v>
      </c>
      <c r="R30" s="812"/>
      <c r="S30" s="123">
        <f>S23*(S22-S28)/(S23-S22*S26)</f>
        <v>82.24102957713792</v>
      </c>
      <c r="T30" s="338" t="s">
        <v>22</v>
      </c>
      <c r="U30" s="55" t="s">
        <v>184</v>
      </c>
      <c r="V30" s="128">
        <f>((2*$S$3*$O$6*$S$7)-($S$4*$O$6)+($S$4*$S$3))/($S$7)</f>
        <v>6640.7323657119705</v>
      </c>
      <c r="W30" s="128">
        <f>(($S$4*$O$6^2)-($S$4*$S$3^2))/(((2*$O$6)-($S$7*$O$6)-($S$7*$S$3)))</f>
        <v>7153.678335594719</v>
      </c>
      <c r="X30" s="94"/>
      <c r="Y30" s="702"/>
      <c r="Z30" s="702"/>
      <c r="AA30" s="702"/>
    </row>
    <row r="31" spans="1:27" ht="13.5" thickBot="1">
      <c r="A31" s="2"/>
      <c r="B31" s="2"/>
      <c r="C31" s="3"/>
      <c r="D31" s="1"/>
      <c r="E31" s="2"/>
      <c r="F31" s="3"/>
      <c r="G31" s="2"/>
      <c r="H31" s="2"/>
      <c r="I31" s="3"/>
      <c r="J31" s="388"/>
      <c r="K31" s="287"/>
      <c r="L31" s="391"/>
      <c r="M31" s="811" t="s">
        <v>370</v>
      </c>
      <c r="N31" s="812"/>
      <c r="O31" s="115">
        <f>O21*O34/(O22+O34)</f>
        <v>0.6967418546365916</v>
      </c>
      <c r="P31" s="58" t="s">
        <v>70</v>
      </c>
      <c r="Q31" s="170"/>
      <c r="R31" s="171"/>
      <c r="S31" s="131"/>
      <c r="T31" s="172"/>
      <c r="U31" s="55" t="s">
        <v>183</v>
      </c>
      <c r="V31" s="128">
        <f>$S$7*(($S$4*$O$6^2)-($S$4*$S$3^2))</f>
        <v>1032008.7999893286</v>
      </c>
      <c r="W31" s="128">
        <f>((2*$O$6-$S$7*$O$6-$S$7*$S$3)*(2*$S$3*$O$6*$S$7-$S$4*$O$6+$S$4*$S$3))</f>
        <v>958009.8402927364</v>
      </c>
      <c r="X31" s="55"/>
      <c r="Y31" s="92"/>
      <c r="Z31" s="11"/>
      <c r="AA31" s="706"/>
    </row>
    <row r="32" spans="1:27" ht="12.75">
      <c r="A32" s="2"/>
      <c r="B32" s="12"/>
      <c r="C32" s="10"/>
      <c r="D32" s="1"/>
      <c r="E32" s="12"/>
      <c r="F32" s="10"/>
      <c r="G32" s="2"/>
      <c r="H32" s="12"/>
      <c r="I32" s="10"/>
      <c r="J32" s="388"/>
      <c r="K32" s="287"/>
      <c r="L32" s="391"/>
      <c r="M32" s="811" t="s">
        <v>357</v>
      </c>
      <c r="N32" s="812"/>
      <c r="O32" s="115">
        <f>O31*((1/(1/O25+(1/(O26+O23))))/((1/(1/O25+(1/(O26+O23))))+O24))*(O23/(O26+O23))</f>
        <v>0.31328320802005016</v>
      </c>
      <c r="P32" s="58" t="s">
        <v>70</v>
      </c>
      <c r="Q32" s="173" t="s">
        <v>191</v>
      </c>
      <c r="R32" s="581" t="s">
        <v>342</v>
      </c>
      <c r="S32" s="178">
        <f>S38*((1/(1/O25+(1/(O24+O22))))/((1/(1/O25+(1/(O24+O22))))+O26))*(O22/(O24+O22))</f>
        <v>1.2531328320802007</v>
      </c>
      <c r="T32" s="363" t="s">
        <v>3</v>
      </c>
      <c r="U32" s="55" t="s">
        <v>187</v>
      </c>
      <c r="V32" s="128">
        <f>($S$7*$S$4*$O$6^2)-($S$7*$S$4*$S$3^2)</f>
        <v>1032008.7999893286</v>
      </c>
      <c r="W32" s="128">
        <f>(4*$S$3*$O$6^2*$S$7)-(2*$S$4*$O$6^2)+(2*$O$6*$S$4*$S$3)-(2*$S$3*$O$6^2*$S$7^2)+($S$7*$O$6^2*$S$4)-($S$7*$O$6*$S$4*$S$3)-(2*$S$3^2*$S$7^2*$O$6)+($S$7*$S$3*$S$4*$O$6)-($S$7*$S$3^2*$S$4)</f>
        <v>958009.8402927367</v>
      </c>
      <c r="X32" s="61"/>
      <c r="Y32" s="92"/>
      <c r="Z32" s="120"/>
      <c r="AA32" s="210"/>
    </row>
    <row r="33" spans="1:27" ht="12.75">
      <c r="A33" s="2"/>
      <c r="B33" s="2"/>
      <c r="C33" s="3"/>
      <c r="D33" s="1"/>
      <c r="E33" s="2"/>
      <c r="F33" s="3"/>
      <c r="G33" s="2"/>
      <c r="H33" s="2"/>
      <c r="I33" s="3"/>
      <c r="J33" s="388"/>
      <c r="K33" s="287"/>
      <c r="L33" s="391"/>
      <c r="M33" s="833" t="s">
        <v>363</v>
      </c>
      <c r="N33" s="834"/>
      <c r="O33" s="115">
        <f>IF(O27="NO",10*LOG((O31^2/O34)/(O32^2/O23)),10*LOG((1/O22)/(O32^2/O23)))</f>
        <v>4.060657740294211</v>
      </c>
      <c r="P33" s="57" t="s">
        <v>4</v>
      </c>
      <c r="Q33" s="812" t="s">
        <v>363</v>
      </c>
      <c r="R33" s="812"/>
      <c r="S33" s="115">
        <f>IF(O27="NO",10*LOG((S38^2/S34)/(S32^2/O22)),10*LOG((1/O23)/(S32^2/O22)))</f>
        <v>4.060657740294211</v>
      </c>
      <c r="T33" s="339" t="s">
        <v>4</v>
      </c>
      <c r="U33" s="55" t="s">
        <v>188</v>
      </c>
      <c r="V33" s="128">
        <v>0</v>
      </c>
      <c r="W33" s="128">
        <f>(4*$S$3*$O$6^2*$S$7)-(2*$S$4*$O$6^2)+(2*$O$6*$S$4*$S$3)-(2*$S$3*$O$6^2*$S$7^2)-(2*$S$3^2*$S$7^2*$O$6)</f>
        <v>-73998.95969659195</v>
      </c>
      <c r="X33" s="55"/>
      <c r="Y33" s="210"/>
      <c r="Z33" s="120"/>
      <c r="AA33" s="702"/>
    </row>
    <row r="34" spans="1:27" ht="12.75">
      <c r="A34" s="2" t="s">
        <v>84</v>
      </c>
      <c r="B34" s="2"/>
      <c r="C34" s="3"/>
      <c r="D34" s="813" t="s">
        <v>5</v>
      </c>
      <c r="E34" s="814"/>
      <c r="F34" s="815"/>
      <c r="G34" s="813" t="s">
        <v>86</v>
      </c>
      <c r="H34" s="814"/>
      <c r="I34" s="815"/>
      <c r="J34" s="388"/>
      <c r="K34" s="287"/>
      <c r="L34" s="391"/>
      <c r="M34" s="833" t="s">
        <v>383</v>
      </c>
      <c r="N34" s="834"/>
      <c r="O34" s="115">
        <f>O24+(1/(1/O25+(1/(O26+O23))))</f>
        <v>53.46153846153846</v>
      </c>
      <c r="P34" s="58" t="s">
        <v>22</v>
      </c>
      <c r="Q34" s="812" t="s">
        <v>364</v>
      </c>
      <c r="R34" s="812"/>
      <c r="S34" s="115">
        <f>(1/((1/(O24+O22)+(1/O25))))+O26</f>
        <v>118.13901345291481</v>
      </c>
      <c r="T34" s="339" t="s">
        <v>22</v>
      </c>
      <c r="U34" s="55" t="s">
        <v>189</v>
      </c>
      <c r="V34" s="128">
        <f>(((4*$S$3*$S$7)-(2*$S$4)-(2*$S$3*$S$7^2))*$O$6^2)+((2*$S$4*$S$3)-(2*$S$3^2*$S$7^2))*$O$6</f>
        <v>-73998.95969659195</v>
      </c>
      <c r="W34" s="128"/>
      <c r="X34" s="55"/>
      <c r="Y34" s="210"/>
      <c r="Z34" s="121"/>
      <c r="AA34" s="702"/>
    </row>
    <row r="35" spans="1:27" ht="12.75">
      <c r="A35" s="2"/>
      <c r="B35" s="2"/>
      <c r="C35" s="3"/>
      <c r="D35" s="1"/>
      <c r="E35" s="2"/>
      <c r="F35" s="3"/>
      <c r="G35" s="2"/>
      <c r="H35" s="2"/>
      <c r="I35" s="3"/>
      <c r="J35" s="388"/>
      <c r="K35" s="287"/>
      <c r="L35" s="391"/>
      <c r="M35" s="833" t="s">
        <v>365</v>
      </c>
      <c r="N35" s="834"/>
      <c r="O35" s="115">
        <f>(O34-O22)/(O34+O22)</f>
        <v>-0.30325814536340856</v>
      </c>
      <c r="P35" s="58"/>
      <c r="Q35" s="834" t="s">
        <v>365</v>
      </c>
      <c r="R35" s="834"/>
      <c r="S35" s="115">
        <f>(S34-O23)/(S34+O23)</f>
        <v>0.6506892230576441</v>
      </c>
      <c r="T35" s="338"/>
      <c r="U35" s="94" t="s">
        <v>177</v>
      </c>
      <c r="V35" s="129">
        <f>(-(2*$S$4*$S$3-2*$S$3^2*$S$7^2)-(2*$S$4*$S$3-2*$S$3^2*$S$7^2))/(2*(4*$S$3*$S$7-2*$S$4-2*$S$3*$S$7^2))</f>
        <v>178.48855913456435</v>
      </c>
      <c r="W35" s="130"/>
      <c r="X35" s="64"/>
      <c r="Y35" s="210"/>
      <c r="Z35" s="121"/>
      <c r="AA35" s="702"/>
    </row>
    <row r="36" spans="1:27" ht="12.75">
      <c r="A36" s="358" t="s">
        <v>213</v>
      </c>
      <c r="B36" s="112">
        <f>10^(B30/20)*(0.001*B29)^0.5</f>
        <v>15.811388300841903</v>
      </c>
      <c r="C36" s="360" t="s">
        <v>3</v>
      </c>
      <c r="D36" s="359" t="s">
        <v>423</v>
      </c>
      <c r="E36" s="112">
        <f>10^(E30/10)*0.001</f>
        <v>2.2499999999999987</v>
      </c>
      <c r="F36" s="360" t="s">
        <v>1</v>
      </c>
      <c r="G36" s="358" t="s">
        <v>38</v>
      </c>
      <c r="H36" s="112">
        <f>10^(H30/20)*0.000001</f>
        <v>0.008912509381337468</v>
      </c>
      <c r="I36" s="360" t="s">
        <v>3</v>
      </c>
      <c r="J36" s="388"/>
      <c r="K36" s="287"/>
      <c r="L36" s="391"/>
      <c r="M36" s="811" t="s">
        <v>326</v>
      </c>
      <c r="N36" s="812"/>
      <c r="O36" s="115">
        <f>IF(O35&gt;0,(1+O35)/(1-O35),(1-O35)/(1+O35))</f>
        <v>1.870503597122302</v>
      </c>
      <c r="P36" s="57"/>
      <c r="Q36" s="812" t="s">
        <v>366</v>
      </c>
      <c r="R36" s="812"/>
      <c r="S36" s="115">
        <f>IF(S35&gt;0,(1+S35)/(1-S35),(1-S35)/(1+S35))</f>
        <v>4.725560538116592</v>
      </c>
      <c r="T36" s="338"/>
      <c r="U36" s="64"/>
      <c r="V36" s="129">
        <f>-($S$4*$S$3-$S$3^2*$S$7^2)/(2*$S$3*$S$7-$S$4-$S$3*$S$7^2)</f>
        <v>178.48855913456435</v>
      </c>
      <c r="W36" s="130"/>
      <c r="X36" s="64"/>
      <c r="Y36" s="210"/>
      <c r="Z36" s="121"/>
      <c r="AA36" s="702"/>
    </row>
    <row r="37" spans="1:27" ht="12.75">
      <c r="A37" s="358" t="s">
        <v>228</v>
      </c>
      <c r="B37" s="139">
        <f>B36/B29</f>
        <v>0.31622776601683805</v>
      </c>
      <c r="C37" s="360" t="s">
        <v>34</v>
      </c>
      <c r="D37" s="1"/>
      <c r="E37" s="2"/>
      <c r="F37" s="3"/>
      <c r="G37" s="2"/>
      <c r="H37" s="2"/>
      <c r="I37" s="3"/>
      <c r="J37" s="388"/>
      <c r="K37" s="287"/>
      <c r="L37" s="391"/>
      <c r="M37" s="811" t="s">
        <v>324</v>
      </c>
      <c r="N37" s="812"/>
      <c r="O37" s="115">
        <f>ROUND(20*LOG10(IF(O35&gt;0,O35,O35*-1)),2)*-1</f>
        <v>10.36</v>
      </c>
      <c r="P37" s="58" t="s">
        <v>4</v>
      </c>
      <c r="Q37" s="812" t="s">
        <v>324</v>
      </c>
      <c r="R37" s="812"/>
      <c r="S37" s="115">
        <f>ROUND(20*LOG10(IF(S35&gt;0,S35,S35*-1)),2)*-1</f>
        <v>3.73</v>
      </c>
      <c r="T37" s="338" t="s">
        <v>4</v>
      </c>
      <c r="U37" s="64"/>
      <c r="V37" s="64"/>
      <c r="W37" s="64"/>
      <c r="X37" s="64"/>
      <c r="Y37" s="210"/>
      <c r="Z37" s="121"/>
      <c r="AA37" s="702"/>
    </row>
    <row r="38" spans="1:27" ht="13.5" thickBot="1">
      <c r="A38" s="5"/>
      <c r="B38" s="5"/>
      <c r="C38" s="6"/>
      <c r="D38" s="4"/>
      <c r="E38" s="5"/>
      <c r="F38" s="6"/>
      <c r="G38" s="5"/>
      <c r="H38" s="5"/>
      <c r="I38" s="6"/>
      <c r="J38" s="392"/>
      <c r="K38" s="393"/>
      <c r="L38" s="394"/>
      <c r="M38" s="62"/>
      <c r="N38" s="65"/>
      <c r="O38" s="73"/>
      <c r="P38" s="73"/>
      <c r="Q38" s="787" t="s">
        <v>370</v>
      </c>
      <c r="R38" s="787"/>
      <c r="S38" s="398">
        <f>O21*S34/(O23+S34)</f>
        <v>1.6506892230576442</v>
      </c>
      <c r="T38" s="399" t="s">
        <v>3</v>
      </c>
      <c r="U38" s="55"/>
      <c r="V38" s="55"/>
      <c r="W38" s="55"/>
      <c r="X38" s="55"/>
      <c r="Y38" s="702"/>
      <c r="Z38" s="702"/>
      <c r="AA38" s="702"/>
    </row>
    <row r="39" spans="1:27" ht="12.75" customHeight="1">
      <c r="A39" s="808" t="s">
        <v>43</v>
      </c>
      <c r="B39" s="808"/>
      <c r="C39" s="808"/>
      <c r="D39" s="807" t="s">
        <v>42</v>
      </c>
      <c r="E39" s="808"/>
      <c r="F39" s="809"/>
      <c r="G39" s="838" t="s">
        <v>212</v>
      </c>
      <c r="H39" s="838"/>
      <c r="I39" s="839"/>
      <c r="J39" s="902" t="s">
        <v>24</v>
      </c>
      <c r="K39" s="903"/>
      <c r="L39" s="904"/>
      <c r="M39" s="837" t="s">
        <v>206</v>
      </c>
      <c r="N39" s="838"/>
      <c r="O39" s="838"/>
      <c r="P39" s="839"/>
      <c r="Q39" s="910" t="s">
        <v>726</v>
      </c>
      <c r="R39" s="911"/>
      <c r="S39" s="911"/>
      <c r="T39" s="912"/>
      <c r="U39" s="23"/>
      <c r="V39" s="23"/>
      <c r="W39" s="23"/>
      <c r="X39" s="23"/>
      <c r="Y39" s="92"/>
      <c r="Z39" s="265"/>
      <c r="AA39" s="265"/>
    </row>
    <row r="40" spans="1:27" ht="13.5" thickBot="1">
      <c r="A40" s="810"/>
      <c r="B40" s="810"/>
      <c r="C40" s="810"/>
      <c r="D40" s="790"/>
      <c r="E40" s="810"/>
      <c r="F40" s="791"/>
      <c r="G40" s="16"/>
      <c r="H40" s="16"/>
      <c r="I40" s="78"/>
      <c r="J40" s="86"/>
      <c r="K40" s="68"/>
      <c r="L40" s="96"/>
      <c r="M40" s="798"/>
      <c r="N40" s="785"/>
      <c r="O40" s="785"/>
      <c r="P40" s="786"/>
      <c r="Q40" s="551"/>
      <c r="R40" s="552"/>
      <c r="S40" s="557"/>
      <c r="T40" s="554"/>
      <c r="U40" s="23"/>
      <c r="V40" s="23"/>
      <c r="W40" s="23"/>
      <c r="X40" s="23"/>
      <c r="Y40" s="92"/>
      <c r="Z40" s="265"/>
      <c r="AA40" s="265"/>
    </row>
    <row r="41" spans="1:27" ht="13.5" thickBot="1">
      <c r="A41" s="17"/>
      <c r="B41" s="17"/>
      <c r="C41" s="17"/>
      <c r="D41" s="18"/>
      <c r="E41" s="17"/>
      <c r="F41" s="83"/>
      <c r="G41" s="323" t="s">
        <v>340</v>
      </c>
      <c r="H41" s="118">
        <f>K61</f>
        <v>22.36067977499791</v>
      </c>
      <c r="I41" s="78" t="s">
        <v>3</v>
      </c>
      <c r="J41" s="87"/>
      <c r="K41" s="88"/>
      <c r="L41" s="96"/>
      <c r="M41" s="796" t="s">
        <v>371</v>
      </c>
      <c r="N41" s="797"/>
      <c r="O41" s="118">
        <v>50</v>
      </c>
      <c r="P41" s="296" t="s">
        <v>22</v>
      </c>
      <c r="Q41" s="563"/>
      <c r="R41" s="567" t="s">
        <v>727</v>
      </c>
      <c r="S41" s="567" t="s">
        <v>728</v>
      </c>
      <c r="T41" s="554"/>
      <c r="U41" s="23"/>
      <c r="V41" s="23"/>
      <c r="W41" s="23"/>
      <c r="X41" s="23"/>
      <c r="Y41" s="702"/>
      <c r="Z41" s="702"/>
      <c r="AA41" s="702"/>
    </row>
    <row r="42" spans="1:27" ht="13.5" thickBot="1">
      <c r="A42" s="356" t="s">
        <v>340</v>
      </c>
      <c r="B42" s="118">
        <v>17.6</v>
      </c>
      <c r="C42" s="53" t="s">
        <v>23</v>
      </c>
      <c r="D42" s="312" t="s">
        <v>339</v>
      </c>
      <c r="E42" s="146">
        <v>4.5E-05</v>
      </c>
      <c r="F42" s="296" t="s">
        <v>36</v>
      </c>
      <c r="G42" s="323" t="s">
        <v>339</v>
      </c>
      <c r="H42" s="119">
        <v>0.0075</v>
      </c>
      <c r="I42" s="78" t="s">
        <v>34</v>
      </c>
      <c r="J42" s="180" t="s">
        <v>340</v>
      </c>
      <c r="K42" s="147">
        <v>30</v>
      </c>
      <c r="L42" s="308" t="s">
        <v>25</v>
      </c>
      <c r="M42" s="796" t="s">
        <v>372</v>
      </c>
      <c r="N42" s="797"/>
      <c r="O42" s="140">
        <v>54.3</v>
      </c>
      <c r="P42" s="296" t="s">
        <v>22</v>
      </c>
      <c r="Q42" s="548" t="s">
        <v>729</v>
      </c>
      <c r="R42" s="118">
        <v>20</v>
      </c>
      <c r="S42" s="118">
        <v>3</v>
      </c>
      <c r="T42" s="554" t="s">
        <v>732</v>
      </c>
      <c r="U42" s="23"/>
      <c r="V42" s="23"/>
      <c r="W42" s="23"/>
      <c r="X42" s="23"/>
      <c r="Y42" s="702"/>
      <c r="Z42" s="702"/>
      <c r="AA42" s="702"/>
    </row>
    <row r="43" spans="1:27" ht="13.5" thickBot="1">
      <c r="A43" s="356" t="s">
        <v>121</v>
      </c>
      <c r="B43" s="119">
        <v>3300</v>
      </c>
      <c r="C43" s="53" t="s">
        <v>22</v>
      </c>
      <c r="D43" s="312" t="s">
        <v>121</v>
      </c>
      <c r="E43" s="119">
        <v>1000</v>
      </c>
      <c r="F43" s="296" t="s">
        <v>22</v>
      </c>
      <c r="G43" s="16"/>
      <c r="H43" s="16"/>
      <c r="I43" s="78"/>
      <c r="J43" s="270"/>
      <c r="K43" s="88"/>
      <c r="L43" s="96"/>
      <c r="M43" s="796" t="s">
        <v>373</v>
      </c>
      <c r="N43" s="797"/>
      <c r="O43" s="119">
        <v>2</v>
      </c>
      <c r="P43" s="325" t="s">
        <v>22</v>
      </c>
      <c r="Q43" s="548" t="s">
        <v>730</v>
      </c>
      <c r="R43" s="141">
        <v>20</v>
      </c>
      <c r="S43" s="141">
        <v>3</v>
      </c>
      <c r="T43" s="554" t="s">
        <v>732</v>
      </c>
      <c r="U43" s="21"/>
      <c r="V43" s="21"/>
      <c r="W43" s="21"/>
      <c r="X43" s="21"/>
      <c r="Y43" s="702"/>
      <c r="Z43" s="219"/>
      <c r="AA43" s="210"/>
    </row>
    <row r="44" spans="1:27" ht="13.5" thickBot="1">
      <c r="A44" s="17"/>
      <c r="B44" s="528"/>
      <c r="C44" s="528"/>
      <c r="D44" s="18"/>
      <c r="E44" s="528"/>
      <c r="F44" s="296"/>
      <c r="G44" s="840" t="s">
        <v>231</v>
      </c>
      <c r="H44" s="841"/>
      <c r="I44" s="842"/>
      <c r="J44" s="270"/>
      <c r="K44" s="89"/>
      <c r="L44" s="96"/>
      <c r="M44" s="15"/>
      <c r="N44" s="16"/>
      <c r="O44" s="16"/>
      <c r="P44" s="325"/>
      <c r="Q44" s="548" t="s">
        <v>731</v>
      </c>
      <c r="R44" s="119">
        <v>20</v>
      </c>
      <c r="S44" s="119">
        <v>3</v>
      </c>
      <c r="T44" s="554" t="s">
        <v>732</v>
      </c>
      <c r="U44" s="21"/>
      <c r="V44" s="21"/>
      <c r="W44" s="21"/>
      <c r="X44" s="21"/>
      <c r="Y44" s="702"/>
      <c r="Z44" s="219"/>
      <c r="AA44" s="210"/>
    </row>
    <row r="45" spans="1:27" ht="12.75">
      <c r="A45" s="803" t="s">
        <v>314</v>
      </c>
      <c r="B45" s="803"/>
      <c r="C45" s="842"/>
      <c r="D45" s="804" t="s">
        <v>37</v>
      </c>
      <c r="E45" s="805"/>
      <c r="F45" s="806"/>
      <c r="G45" s="323" t="s">
        <v>0</v>
      </c>
      <c r="H45" s="80">
        <f>H41*H42</f>
        <v>0.1677050983124843</v>
      </c>
      <c r="I45" s="78" t="s">
        <v>1</v>
      </c>
      <c r="J45" s="87"/>
      <c r="K45" s="88"/>
      <c r="L45" s="96"/>
      <c r="M45" s="794" t="s">
        <v>236</v>
      </c>
      <c r="N45" s="795"/>
      <c r="O45" s="256">
        <f>(O42^2+O43^2)^0.5</f>
        <v>54.33681992903155</v>
      </c>
      <c r="P45" s="325" t="s">
        <v>22</v>
      </c>
      <c r="Q45" s="551"/>
      <c r="R45" s="552"/>
      <c r="S45" s="553"/>
      <c r="T45" s="554"/>
      <c r="U45" s="21"/>
      <c r="V45" s="21"/>
      <c r="W45" s="21"/>
      <c r="X45" s="21"/>
      <c r="Y45" s="702"/>
      <c r="Z45" s="219"/>
      <c r="AA45" s="702"/>
    </row>
    <row r="46" spans="1:27" ht="13.5" thickBot="1">
      <c r="A46" s="356" t="s">
        <v>41</v>
      </c>
      <c r="B46" s="529">
        <f>B42/B43</f>
        <v>0.005333333333333334</v>
      </c>
      <c r="C46" s="53" t="s">
        <v>34</v>
      </c>
      <c r="D46" s="312" t="s">
        <v>0</v>
      </c>
      <c r="E46" s="80">
        <f>E42^2*E43</f>
        <v>2.0250000000000005E-06</v>
      </c>
      <c r="F46" s="296" t="s">
        <v>1</v>
      </c>
      <c r="G46" s="314"/>
      <c r="H46" s="314"/>
      <c r="I46" s="134"/>
      <c r="J46" s="905" t="s">
        <v>158</v>
      </c>
      <c r="K46" s="906"/>
      <c r="L46" s="907"/>
      <c r="M46" s="254"/>
      <c r="N46" s="255"/>
      <c r="O46" s="16"/>
      <c r="P46" s="78"/>
      <c r="Q46" s="551"/>
      <c r="R46" s="552"/>
      <c r="S46" s="555"/>
      <c r="T46" s="554"/>
      <c r="U46" s="21"/>
      <c r="V46" s="21"/>
      <c r="W46" s="21"/>
      <c r="X46" s="21"/>
      <c r="Y46" s="702"/>
      <c r="Z46" s="702"/>
      <c r="AA46" s="702"/>
    </row>
    <row r="47" spans="1:27" ht="12.75">
      <c r="A47" s="805" t="s">
        <v>26</v>
      </c>
      <c r="B47" s="805"/>
      <c r="C47" s="806"/>
      <c r="D47" s="15"/>
      <c r="E47" s="16"/>
      <c r="F47" s="78"/>
      <c r="G47" s="838" t="s">
        <v>226</v>
      </c>
      <c r="H47" s="838"/>
      <c r="I47" s="839"/>
      <c r="J47" s="87"/>
      <c r="K47" s="88"/>
      <c r="L47" s="96"/>
      <c r="M47" s="794" t="s">
        <v>241</v>
      </c>
      <c r="N47" s="795"/>
      <c r="O47" s="792" t="s">
        <v>238</v>
      </c>
      <c r="P47" s="793"/>
      <c r="Q47" s="548" t="s">
        <v>745</v>
      </c>
      <c r="R47" s="568" t="s">
        <v>733</v>
      </c>
      <c r="S47" s="569" t="s">
        <v>734</v>
      </c>
      <c r="T47" s="570" t="s">
        <v>735</v>
      </c>
      <c r="U47" s="550" t="s">
        <v>735</v>
      </c>
      <c r="V47" s="21"/>
      <c r="W47" s="21"/>
      <c r="X47" s="21"/>
      <c r="Y47" s="213"/>
      <c r="Z47" s="213"/>
      <c r="AA47" s="213"/>
    </row>
    <row r="48" spans="1:27" ht="13.5" thickBot="1">
      <c r="A48" s="805"/>
      <c r="B48" s="805"/>
      <c r="C48" s="806"/>
      <c r="D48" s="840" t="s">
        <v>35</v>
      </c>
      <c r="E48" s="841"/>
      <c r="F48" s="842"/>
      <c r="G48" s="16"/>
      <c r="H48" s="16"/>
      <c r="I48" s="78"/>
      <c r="J48" s="179" t="s">
        <v>53</v>
      </c>
      <c r="K48" s="114">
        <f>K42/(2*2^0.5)</f>
        <v>10.606601717798211</v>
      </c>
      <c r="L48" s="97" t="s">
        <v>3</v>
      </c>
      <c r="M48" s="254"/>
      <c r="N48" s="255"/>
      <c r="O48" s="841" t="s">
        <v>237</v>
      </c>
      <c r="P48" s="842"/>
      <c r="Q48" s="563"/>
      <c r="R48" s="567" t="s">
        <v>547</v>
      </c>
      <c r="S48" s="567"/>
      <c r="T48" s="571" t="s">
        <v>736</v>
      </c>
      <c r="U48" s="549" t="s">
        <v>736</v>
      </c>
      <c r="V48" s="21"/>
      <c r="W48" s="21"/>
      <c r="X48" s="21"/>
      <c r="Y48" s="213"/>
      <c r="Z48" s="213"/>
      <c r="AA48" s="213"/>
    </row>
    <row r="49" spans="1:27" ht="12.75">
      <c r="A49" s="356" t="s">
        <v>0</v>
      </c>
      <c r="B49" s="80">
        <f>B42^2/B43</f>
        <v>0.09386666666666668</v>
      </c>
      <c r="C49" s="53" t="s">
        <v>1</v>
      </c>
      <c r="D49" s="352" t="s">
        <v>44</v>
      </c>
      <c r="E49" s="530">
        <f>E46/E42</f>
        <v>0.045000000000000005</v>
      </c>
      <c r="F49" s="78" t="s">
        <v>3</v>
      </c>
      <c r="G49" s="323" t="s">
        <v>340</v>
      </c>
      <c r="H49" s="118">
        <v>175</v>
      </c>
      <c r="I49" s="78" t="s">
        <v>3</v>
      </c>
      <c r="J49" s="87"/>
      <c r="K49" s="88"/>
      <c r="L49" s="96"/>
      <c r="M49" s="794" t="s">
        <v>241</v>
      </c>
      <c r="N49" s="795"/>
      <c r="O49" s="257">
        <f>((O42-O41)^2+O43^2)^0.5/((O42+O41)^2+O43^2)^0.5</f>
        <v>0.04546012120941345</v>
      </c>
      <c r="P49" s="78"/>
      <c r="Q49" s="560"/>
      <c r="R49" s="561"/>
      <c r="S49" s="558"/>
      <c r="T49" s="562"/>
      <c r="U49" s="21"/>
      <c r="V49" s="21"/>
      <c r="W49" s="21"/>
      <c r="X49" s="21"/>
      <c r="Y49" s="707"/>
      <c r="Z49" s="707"/>
      <c r="AA49" s="11"/>
    </row>
    <row r="50" spans="1:27" ht="13.5" thickBot="1">
      <c r="A50" s="17"/>
      <c r="B50" s="17"/>
      <c r="C50" s="17"/>
      <c r="D50" s="18"/>
      <c r="E50" s="17"/>
      <c r="F50" s="83"/>
      <c r="G50" s="323" t="s">
        <v>394</v>
      </c>
      <c r="H50" s="119">
        <v>375</v>
      </c>
      <c r="I50" s="78" t="s">
        <v>1</v>
      </c>
      <c r="J50" s="90"/>
      <c r="K50" s="91"/>
      <c r="L50" s="104"/>
      <c r="M50" s="15"/>
      <c r="N50" s="16"/>
      <c r="O50" s="16"/>
      <c r="P50" s="78"/>
      <c r="Q50" s="556"/>
      <c r="R50" s="567" t="s">
        <v>744</v>
      </c>
      <c r="S50" s="569" t="s">
        <v>739</v>
      </c>
      <c r="T50" s="554"/>
      <c r="U50" s="21"/>
      <c r="V50" s="21"/>
      <c r="W50" s="21"/>
      <c r="X50" s="21"/>
      <c r="Y50" s="707"/>
      <c r="Z50" s="707"/>
      <c r="AA50" s="708"/>
    </row>
    <row r="51" spans="1:27" ht="12.75" customHeight="1" thickBot="1">
      <c r="A51" s="16"/>
      <c r="B51" s="16"/>
      <c r="C51" s="16"/>
      <c r="D51" s="313"/>
      <c r="E51" s="314"/>
      <c r="F51" s="134"/>
      <c r="G51" s="323"/>
      <c r="H51" s="16"/>
      <c r="I51" s="78"/>
      <c r="J51" s="899" t="s">
        <v>52</v>
      </c>
      <c r="K51" s="900"/>
      <c r="L51" s="901"/>
      <c r="M51" s="788" t="s">
        <v>240</v>
      </c>
      <c r="N51" s="788"/>
      <c r="O51" s="16" t="s">
        <v>239</v>
      </c>
      <c r="P51" s="253"/>
      <c r="Q51" s="548" t="s">
        <v>738</v>
      </c>
      <c r="R51" s="553">
        <f aca="true" t="shared" si="0" ref="R51:S53">10^(R42/10)</f>
        <v>100</v>
      </c>
      <c r="S51" s="553">
        <f t="shared" si="0"/>
        <v>1.9952623149688797</v>
      </c>
      <c r="T51" s="572"/>
      <c r="U51" s="23"/>
      <c r="V51" s="23"/>
      <c r="W51" s="23"/>
      <c r="X51" s="23"/>
      <c r="Y51" s="707"/>
      <c r="Z51" s="707"/>
      <c r="AA51" s="11"/>
    </row>
    <row r="52" spans="1:27" ht="13.5" customHeight="1">
      <c r="A52" s="807" t="s">
        <v>46</v>
      </c>
      <c r="B52" s="808"/>
      <c r="C52" s="808"/>
      <c r="D52" s="807" t="s">
        <v>45</v>
      </c>
      <c r="E52" s="808"/>
      <c r="F52" s="809"/>
      <c r="G52" s="840" t="s">
        <v>230</v>
      </c>
      <c r="H52" s="841"/>
      <c r="I52" s="842"/>
      <c r="J52" s="86"/>
      <c r="K52" s="68"/>
      <c r="L52" s="96"/>
      <c r="M52" s="788" t="s">
        <v>240</v>
      </c>
      <c r="N52" s="788"/>
      <c r="O52" s="258">
        <f>IF(O49&gt;0,(1+O49)/(1-O49),((1-O49)/(1+O49)))</f>
        <v>1.0952503341547384</v>
      </c>
      <c r="P52" s="252"/>
      <c r="Q52" s="548" t="s">
        <v>740</v>
      </c>
      <c r="R52" s="553">
        <f t="shared" si="0"/>
        <v>100</v>
      </c>
      <c r="S52" s="553">
        <f t="shared" si="0"/>
        <v>1.9952623149688797</v>
      </c>
      <c r="T52" s="572"/>
      <c r="U52" s="23"/>
      <c r="V52" s="23"/>
      <c r="W52" s="23"/>
      <c r="X52" s="23"/>
      <c r="Y52" s="702"/>
      <c r="Z52" s="702"/>
      <c r="AA52" s="702"/>
    </row>
    <row r="53" spans="1:27" ht="13.5" thickBot="1">
      <c r="A53" s="531"/>
      <c r="B53" s="532"/>
      <c r="C53" s="532"/>
      <c r="D53" s="531"/>
      <c r="E53" s="532"/>
      <c r="F53" s="533"/>
      <c r="G53" s="15" t="s">
        <v>41</v>
      </c>
      <c r="H53" s="80">
        <f>H50/H49</f>
        <v>2.142857142857143</v>
      </c>
      <c r="I53" s="78" t="s">
        <v>34</v>
      </c>
      <c r="J53" s="87"/>
      <c r="K53" s="88"/>
      <c r="L53" s="96"/>
      <c r="M53" s="16"/>
      <c r="N53" s="16"/>
      <c r="O53" s="77"/>
      <c r="P53" s="78"/>
      <c r="Q53" s="548" t="s">
        <v>741</v>
      </c>
      <c r="R53" s="553">
        <f t="shared" si="0"/>
        <v>100</v>
      </c>
      <c r="S53" s="553">
        <f t="shared" si="0"/>
        <v>1.9952623149688797</v>
      </c>
      <c r="T53" s="572"/>
      <c r="U53" s="194"/>
      <c r="V53" s="194"/>
      <c r="W53" s="194"/>
      <c r="X53" s="194"/>
      <c r="Y53" s="709"/>
      <c r="Z53" s="709"/>
      <c r="AA53" s="710"/>
    </row>
    <row r="54" spans="1:27" ht="13.5" thickBot="1">
      <c r="A54" s="18"/>
      <c r="B54" s="17"/>
      <c r="C54" s="17"/>
      <c r="D54" s="18"/>
      <c r="E54" s="17"/>
      <c r="F54" s="83"/>
      <c r="G54" s="313"/>
      <c r="H54" s="314"/>
      <c r="I54" s="134"/>
      <c r="J54" s="180" t="s">
        <v>340</v>
      </c>
      <c r="K54" s="117">
        <f>B36</f>
        <v>15.811388300841903</v>
      </c>
      <c r="L54" s="308" t="s">
        <v>23</v>
      </c>
      <c r="M54" s="805" t="s">
        <v>156</v>
      </c>
      <c r="N54" s="805"/>
      <c r="O54" s="805"/>
      <c r="P54" s="806"/>
      <c r="Q54" s="560"/>
      <c r="R54" s="561"/>
      <c r="S54" s="569"/>
      <c r="T54" s="562"/>
      <c r="U54" s="23"/>
      <c r="V54" s="23"/>
      <c r="W54" s="23"/>
      <c r="X54" s="23"/>
      <c r="Y54" s="711"/>
      <c r="Z54" s="711"/>
      <c r="AA54" s="702"/>
    </row>
    <row r="55" spans="1:32" ht="12.75">
      <c r="A55" s="312" t="s">
        <v>394</v>
      </c>
      <c r="B55" s="148">
        <f>K37</f>
        <v>0</v>
      </c>
      <c r="C55" s="53" t="s">
        <v>1</v>
      </c>
      <c r="D55" s="312" t="s">
        <v>394</v>
      </c>
      <c r="E55" s="148">
        <v>325</v>
      </c>
      <c r="F55" s="296" t="s">
        <v>1</v>
      </c>
      <c r="G55" s="837" t="s">
        <v>227</v>
      </c>
      <c r="H55" s="838"/>
      <c r="I55" s="839"/>
      <c r="J55" s="270"/>
      <c r="K55" s="88"/>
      <c r="L55" s="96"/>
      <c r="M55" s="788" t="s">
        <v>146</v>
      </c>
      <c r="N55" s="788"/>
      <c r="O55" s="80">
        <f>ROUND(20*LOG10((O52-1)/(O52+1)),2)*-1</f>
        <v>26.85</v>
      </c>
      <c r="P55" s="325" t="s">
        <v>4</v>
      </c>
      <c r="Q55" s="908" t="s">
        <v>737</v>
      </c>
      <c r="R55" s="909"/>
      <c r="S55" s="553">
        <f>S51+(S52-1)/R51+(S53-1)/(R51*R52)</f>
        <v>2.0053144643500653</v>
      </c>
      <c r="T55" s="559"/>
      <c r="U55" s="21"/>
      <c r="V55" s="21"/>
      <c r="W55" s="21"/>
      <c r="X55" s="21"/>
      <c r="Y55" s="709"/>
      <c r="Z55" s="709"/>
      <c r="AA55" s="272"/>
      <c r="AB55" s="196"/>
      <c r="AC55" s="196"/>
      <c r="AD55" s="196"/>
      <c r="AE55" s="196"/>
      <c r="AF55" s="196"/>
    </row>
    <row r="56" spans="1:30" ht="13.5" thickBot="1">
      <c r="A56" s="312" t="s">
        <v>121</v>
      </c>
      <c r="B56" s="119">
        <v>50</v>
      </c>
      <c r="C56" s="53" t="s">
        <v>22</v>
      </c>
      <c r="D56" s="312" t="s">
        <v>121</v>
      </c>
      <c r="E56" s="119">
        <v>600</v>
      </c>
      <c r="F56" s="296" t="s">
        <v>22</v>
      </c>
      <c r="G56" s="15"/>
      <c r="H56" s="16"/>
      <c r="I56" s="78"/>
      <c r="J56" s="270"/>
      <c r="K56" s="89"/>
      <c r="L56" s="96"/>
      <c r="M56" s="255"/>
      <c r="N56" s="255"/>
      <c r="O56" s="77"/>
      <c r="P56" s="325"/>
      <c r="Q56" s="908" t="s">
        <v>743</v>
      </c>
      <c r="R56" s="909"/>
      <c r="S56" s="553">
        <f>R42+R43+R44</f>
        <v>60</v>
      </c>
      <c r="T56" s="559" t="s">
        <v>4</v>
      </c>
      <c r="U56" s="21"/>
      <c r="V56" s="21"/>
      <c r="W56" s="21"/>
      <c r="X56" s="21"/>
      <c r="Y56" s="711"/>
      <c r="Z56" s="711"/>
      <c r="AA56" s="707"/>
      <c r="AB56" s="195"/>
      <c r="AC56" s="195"/>
      <c r="AD56" s="195"/>
    </row>
    <row r="57" spans="1:30" ht="12.75">
      <c r="A57" s="18"/>
      <c r="B57" s="528"/>
      <c r="C57" s="53"/>
      <c r="D57" s="18"/>
      <c r="E57" s="528"/>
      <c r="F57" s="296"/>
      <c r="G57" s="352" t="s">
        <v>339</v>
      </c>
      <c r="H57" s="118">
        <f>H42</f>
        <v>0.0075</v>
      </c>
      <c r="I57" s="78" t="s">
        <v>34</v>
      </c>
      <c r="J57" s="87"/>
      <c r="K57" s="88"/>
      <c r="L57" s="96"/>
      <c r="M57" s="795" t="s">
        <v>205</v>
      </c>
      <c r="N57" s="795"/>
      <c r="O57" s="258">
        <f>-10*LOG((1-O49^2),10)</f>
        <v>0.008984515004015536</v>
      </c>
      <c r="P57" s="325" t="s">
        <v>4</v>
      </c>
      <c r="Q57" s="908" t="s">
        <v>742</v>
      </c>
      <c r="R57" s="909"/>
      <c r="S57" s="553">
        <f>10*LOG(S55)</f>
        <v>3.021824863942428</v>
      </c>
      <c r="T57" s="559" t="s">
        <v>4</v>
      </c>
      <c r="U57" s="21"/>
      <c r="V57" s="21"/>
      <c r="W57" s="21"/>
      <c r="X57" s="21"/>
      <c r="Y57" s="709"/>
      <c r="Z57" s="709"/>
      <c r="AA57" s="712"/>
      <c r="AB57" s="197"/>
      <c r="AC57" s="197"/>
      <c r="AD57" s="197"/>
    </row>
    <row r="58" spans="1:30" ht="13.5" thickBot="1">
      <c r="A58" s="804" t="s">
        <v>89</v>
      </c>
      <c r="B58" s="805"/>
      <c r="C58" s="806"/>
      <c r="D58" s="804" t="s">
        <v>90</v>
      </c>
      <c r="E58" s="805"/>
      <c r="F58" s="806"/>
      <c r="G58" s="352" t="s">
        <v>394</v>
      </c>
      <c r="H58" s="119">
        <f>H45</f>
        <v>0.1677050983124843</v>
      </c>
      <c r="I58" s="78" t="s">
        <v>1</v>
      </c>
      <c r="J58" s="905" t="s">
        <v>157</v>
      </c>
      <c r="K58" s="906"/>
      <c r="L58" s="907"/>
      <c r="M58" s="522"/>
      <c r="N58" s="522"/>
      <c r="O58" s="259"/>
      <c r="P58" s="134"/>
      <c r="Q58" s="564"/>
      <c r="R58" s="565"/>
      <c r="S58" s="565"/>
      <c r="T58" s="566"/>
      <c r="U58" s="21"/>
      <c r="V58" s="21"/>
      <c r="W58" s="21"/>
      <c r="X58" s="21"/>
      <c r="Y58" s="702"/>
      <c r="Z58" s="702"/>
      <c r="AA58" s="702"/>
      <c r="AB58" s="40"/>
      <c r="AC58" s="40"/>
      <c r="AD58" s="40"/>
    </row>
    <row r="59" spans="1:30" ht="12.75">
      <c r="A59" s="18"/>
      <c r="B59" s="17"/>
      <c r="C59" s="53"/>
      <c r="D59" s="18"/>
      <c r="E59" s="17"/>
      <c r="F59" s="296"/>
      <c r="G59" s="15"/>
      <c r="H59" s="16"/>
      <c r="I59" s="78"/>
      <c r="J59" s="87"/>
      <c r="K59" s="88"/>
      <c r="L59" s="96"/>
      <c r="M59" s="261"/>
      <c r="N59" s="261"/>
      <c r="O59" s="79"/>
      <c r="P59" s="79"/>
      <c r="U59" s="21"/>
      <c r="V59" s="21"/>
      <c r="W59" s="21"/>
      <c r="X59" s="21"/>
      <c r="Y59" s="273"/>
      <c r="Z59" s="273"/>
      <c r="AA59" s="702"/>
      <c r="AB59" s="196"/>
      <c r="AC59" s="196"/>
      <c r="AD59" s="196"/>
    </row>
    <row r="60" spans="1:30" ht="12.75">
      <c r="A60" s="312" t="s">
        <v>38</v>
      </c>
      <c r="B60" s="80">
        <f>(B55*B56)^0.5</f>
        <v>0</v>
      </c>
      <c r="C60" s="53" t="s">
        <v>3</v>
      </c>
      <c r="D60" s="312" t="s">
        <v>41</v>
      </c>
      <c r="E60" s="80">
        <f>(E55/E56)^0.5</f>
        <v>0.7359800721939872</v>
      </c>
      <c r="F60" s="296" t="s">
        <v>34</v>
      </c>
      <c r="G60" s="840" t="s">
        <v>229</v>
      </c>
      <c r="H60" s="841"/>
      <c r="I60" s="842"/>
      <c r="J60" s="179" t="s">
        <v>54</v>
      </c>
      <c r="K60" s="114">
        <f>K54*(2*2^0.5)</f>
        <v>44.72135954999582</v>
      </c>
      <c r="L60" s="97" t="s">
        <v>3</v>
      </c>
      <c r="M60" s="197"/>
      <c r="N60" s="197"/>
      <c r="O60" s="102"/>
      <c r="P60" s="79"/>
      <c r="U60" s="21"/>
      <c r="V60" s="21"/>
      <c r="W60" s="21"/>
      <c r="X60" s="21"/>
      <c r="Y60" s="273"/>
      <c r="Z60" s="273"/>
      <c r="AA60" s="713"/>
      <c r="AB60" s="196"/>
      <c r="AC60" s="196"/>
      <c r="AD60" s="196"/>
    </row>
    <row r="61" spans="1:30" ht="12.75">
      <c r="A61" s="18"/>
      <c r="B61" s="17"/>
      <c r="C61" s="83"/>
      <c r="D61" s="18"/>
      <c r="E61" s="17"/>
      <c r="F61" s="83"/>
      <c r="G61" s="352" t="s">
        <v>38</v>
      </c>
      <c r="H61" s="80">
        <f>H58/H57</f>
        <v>22.36067977499791</v>
      </c>
      <c r="I61" s="78" t="s">
        <v>3</v>
      </c>
      <c r="J61" s="87" t="s">
        <v>481</v>
      </c>
      <c r="K61" s="114">
        <f>K60/2</f>
        <v>22.36067977499791</v>
      </c>
      <c r="L61" s="97" t="s">
        <v>3</v>
      </c>
      <c r="M61" s="79"/>
      <c r="N61" s="79"/>
      <c r="O61" s="79"/>
      <c r="P61" s="79"/>
      <c r="U61" s="21"/>
      <c r="V61" s="21"/>
      <c r="W61" s="21"/>
      <c r="X61" s="21"/>
      <c r="Y61" s="702"/>
      <c r="Z61" s="702"/>
      <c r="AA61" s="714"/>
      <c r="AB61" s="196"/>
      <c r="AC61" s="196"/>
      <c r="AD61" s="196"/>
    </row>
    <row r="62" spans="1:27" ht="13.5" thickBot="1">
      <c r="A62" s="313"/>
      <c r="B62" s="314"/>
      <c r="C62" s="314"/>
      <c r="D62" s="313"/>
      <c r="E62" s="314"/>
      <c r="F62" s="134"/>
      <c r="G62" s="428"/>
      <c r="H62" s="534"/>
      <c r="I62" s="535"/>
      <c r="J62" s="90"/>
      <c r="K62" s="91"/>
      <c r="L62" s="104"/>
      <c r="M62" s="79"/>
      <c r="N62" s="79"/>
      <c r="O62" s="79"/>
      <c r="P62" s="79"/>
      <c r="U62" s="21"/>
      <c r="V62" s="21"/>
      <c r="W62" s="21"/>
      <c r="X62" s="21"/>
      <c r="Y62" s="213"/>
      <c r="Z62" s="213"/>
      <c r="AA62" s="213"/>
    </row>
    <row r="63" spans="1:27" ht="12.75" customHeight="1">
      <c r="A63" s="873" t="s">
        <v>67</v>
      </c>
      <c r="B63" s="850"/>
      <c r="C63" s="875"/>
      <c r="D63" s="789"/>
      <c r="E63" s="898"/>
      <c r="F63" s="898"/>
      <c r="G63" s="898"/>
      <c r="H63" s="898"/>
      <c r="I63" s="898"/>
      <c r="M63" s="79"/>
      <c r="N63" s="212"/>
      <c r="O63" s="212"/>
      <c r="P63" s="92"/>
      <c r="U63" s="23"/>
      <c r="V63" s="23"/>
      <c r="W63" s="23"/>
      <c r="X63" s="23"/>
      <c r="Y63" s="273"/>
      <c r="Z63" s="273"/>
      <c r="AA63" s="219"/>
    </row>
    <row r="64" spans="1:27" ht="13.5" thickBot="1">
      <c r="A64" s="30"/>
      <c r="B64" s="31"/>
      <c r="C64" s="32"/>
      <c r="D64" s="251"/>
      <c r="E64" s="251"/>
      <c r="F64" s="251"/>
      <c r="G64" s="79"/>
      <c r="H64" s="79"/>
      <c r="I64" s="79"/>
      <c r="M64" s="79"/>
      <c r="N64" s="92"/>
      <c r="O64" s="92"/>
      <c r="P64" s="92"/>
      <c r="U64" s="23"/>
      <c r="V64" s="23"/>
      <c r="W64" s="23"/>
      <c r="X64" s="23"/>
      <c r="Y64" s="711"/>
      <c r="Z64" s="711"/>
      <c r="AA64" s="714"/>
    </row>
    <row r="65" spans="1:27" ht="12.75">
      <c r="A65" s="321" t="s">
        <v>332</v>
      </c>
      <c r="B65" s="118">
        <v>1</v>
      </c>
      <c r="C65" s="165" t="s">
        <v>98</v>
      </c>
      <c r="D65" s="92"/>
      <c r="E65" s="11"/>
      <c r="F65" s="11"/>
      <c r="G65" s="11"/>
      <c r="H65" s="11"/>
      <c r="I65" s="11"/>
      <c r="J65" s="79"/>
      <c r="K65" s="93"/>
      <c r="L65" s="79"/>
      <c r="M65" s="79"/>
      <c r="N65" s="92"/>
      <c r="O65" s="92"/>
      <c r="P65" s="92"/>
      <c r="U65" s="23"/>
      <c r="V65" s="23"/>
      <c r="W65" s="23"/>
      <c r="X65" s="23"/>
      <c r="Y65" s="709"/>
      <c r="Z65" s="709"/>
      <c r="AA65" s="713"/>
    </row>
    <row r="66" spans="1:27" ht="12.75">
      <c r="A66" s="321" t="s">
        <v>333</v>
      </c>
      <c r="B66" s="142">
        <v>1570</v>
      </c>
      <c r="C66" s="166" t="s">
        <v>22</v>
      </c>
      <c r="D66" s="260"/>
      <c r="E66" s="11"/>
      <c r="F66" s="11"/>
      <c r="G66" s="11"/>
      <c r="H66" s="102"/>
      <c r="I66" s="11"/>
      <c r="J66" s="79"/>
      <c r="K66" s="102"/>
      <c r="L66" s="79"/>
      <c r="M66" s="79"/>
      <c r="N66" s="92"/>
      <c r="O66" s="92"/>
      <c r="P66" s="92"/>
      <c r="U66" s="23"/>
      <c r="V66" s="23"/>
      <c r="W66" s="23"/>
      <c r="X66" s="23"/>
      <c r="Y66" s="711"/>
      <c r="Z66" s="711"/>
      <c r="AA66" s="714"/>
    </row>
    <row r="67" spans="1:24" ht="12.75">
      <c r="A67" s="321" t="s">
        <v>334</v>
      </c>
      <c r="B67" s="141">
        <v>1570</v>
      </c>
      <c r="C67" s="32" t="s">
        <v>22</v>
      </c>
      <c r="D67" s="260"/>
      <c r="E67" s="11"/>
      <c r="F67" s="11"/>
      <c r="G67" s="11"/>
      <c r="H67" s="102"/>
      <c r="I67" s="11"/>
      <c r="J67" s="79"/>
      <c r="K67" s="79"/>
      <c r="L67" s="79"/>
      <c r="M67" s="197"/>
      <c r="N67" s="197"/>
      <c r="O67" s="93"/>
      <c r="P67" s="79"/>
      <c r="U67" s="21"/>
      <c r="V67" s="21"/>
      <c r="W67" s="21"/>
      <c r="X67" s="21"/>
    </row>
    <row r="68" spans="1:24" ht="13.5" thickBot="1">
      <c r="A68" s="321" t="s">
        <v>335</v>
      </c>
      <c r="B68" s="119">
        <v>50</v>
      </c>
      <c r="C68" s="32" t="s">
        <v>22</v>
      </c>
      <c r="D68" s="92"/>
      <c r="H68" s="93"/>
      <c r="I68" s="40"/>
      <c r="J68" s="212"/>
      <c r="K68" s="212"/>
      <c r="L68" s="92"/>
      <c r="M68" s="197"/>
      <c r="N68" s="197"/>
      <c r="O68" s="93"/>
      <c r="P68" s="79"/>
      <c r="U68" s="21"/>
      <c r="V68" s="21"/>
      <c r="W68" s="21"/>
      <c r="X68" s="21"/>
    </row>
    <row r="69" spans="1:24" ht="12.75">
      <c r="A69" s="33"/>
      <c r="B69" s="34"/>
      <c r="C69" s="32"/>
      <c r="D69" s="79"/>
      <c r="E69" s="11"/>
      <c r="F69" s="11"/>
      <c r="G69" s="213"/>
      <c r="H69" s="79"/>
      <c r="I69" s="79"/>
      <c r="J69" s="79"/>
      <c r="K69" s="79"/>
      <c r="L69" s="79"/>
      <c r="M69" s="261"/>
      <c r="N69" s="261"/>
      <c r="O69" s="271"/>
      <c r="P69" s="79"/>
      <c r="U69" s="21"/>
      <c r="V69" s="21"/>
      <c r="W69" s="21"/>
      <c r="X69" s="21"/>
    </row>
    <row r="70" spans="1:24" ht="12.75">
      <c r="A70" s="876" t="s">
        <v>143</v>
      </c>
      <c r="B70" s="848"/>
      <c r="C70" s="849"/>
      <c r="D70" s="92"/>
      <c r="E70" s="92"/>
      <c r="F70" s="92"/>
      <c r="G70" s="213"/>
      <c r="H70" s="213"/>
      <c r="I70" s="40"/>
      <c r="J70" s="79"/>
      <c r="K70" s="93"/>
      <c r="L70" s="212"/>
      <c r="M70" s="212"/>
      <c r="N70" s="212"/>
      <c r="O70" s="212"/>
      <c r="P70" s="79"/>
      <c r="U70" s="21"/>
      <c r="V70" s="21"/>
      <c r="W70" s="21"/>
      <c r="X70" s="21"/>
    </row>
    <row r="71" spans="1:24" ht="12.75">
      <c r="A71" s="315" t="s">
        <v>145</v>
      </c>
      <c r="B71" s="76">
        <f>1/(1/B66+1/B67+1/B68)</f>
        <v>47.00598802395209</v>
      </c>
      <c r="C71" s="166" t="s">
        <v>22</v>
      </c>
      <c r="D71" s="92"/>
      <c r="E71" s="536"/>
      <c r="F71" s="536"/>
      <c r="G71" s="536"/>
      <c r="H71" s="213"/>
      <c r="I71" s="40"/>
      <c r="J71" s="79"/>
      <c r="K71" s="93"/>
      <c r="L71" s="79"/>
      <c r="M71" s="79"/>
      <c r="N71" s="79"/>
      <c r="O71" s="79"/>
      <c r="P71" s="79"/>
      <c r="U71" s="21"/>
      <c r="V71" s="21"/>
      <c r="W71" s="21"/>
      <c r="X71" s="21"/>
    </row>
    <row r="72" spans="1:24" ht="12.75">
      <c r="A72" s="315" t="s">
        <v>297</v>
      </c>
      <c r="B72" s="76">
        <f>1/(1/(B66+(B66*B65/100))+1/(B67+(B67*B65/100))+1/(B68+(B68*B65/100)))</f>
        <v>47.47604790419162</v>
      </c>
      <c r="C72" s="166" t="s">
        <v>22</v>
      </c>
      <c r="D72" s="92"/>
      <c r="E72" s="102"/>
      <c r="F72" s="11"/>
      <c r="G72" s="79"/>
      <c r="H72" s="219"/>
      <c r="I72" s="11"/>
      <c r="J72" s="79"/>
      <c r="K72" s="93"/>
      <c r="L72" s="79"/>
      <c r="M72" s="79"/>
      <c r="N72" s="79"/>
      <c r="O72" s="79"/>
      <c r="P72" s="79"/>
      <c r="U72" s="21"/>
      <c r="V72" s="21"/>
      <c r="W72" s="21"/>
      <c r="X72" s="21"/>
    </row>
    <row r="73" spans="1:26" ht="15">
      <c r="A73" s="315" t="s">
        <v>298</v>
      </c>
      <c r="B73" s="76">
        <f>1/(1/(B66-(B66*B65/100))+1/(B67-(B67*B65/100))+1/(B68-(B68*B65/100)))</f>
        <v>46.53592814371257</v>
      </c>
      <c r="C73" s="32" t="s">
        <v>22</v>
      </c>
      <c r="D73" s="92"/>
      <c r="E73" s="92"/>
      <c r="F73" s="92"/>
      <c r="G73" s="197"/>
      <c r="H73" s="220"/>
      <c r="I73" s="40"/>
      <c r="J73" s="79"/>
      <c r="K73" s="93"/>
      <c r="L73" s="79"/>
      <c r="M73" s="79"/>
      <c r="N73" s="79"/>
      <c r="O73" s="79"/>
      <c r="P73" s="79"/>
      <c r="U73" s="21"/>
      <c r="V73" s="21"/>
      <c r="W73" s="21"/>
      <c r="X73" s="21"/>
      <c r="Z73" s="202"/>
    </row>
    <row r="74" spans="1:26" ht="15.75" thickBot="1">
      <c r="A74" s="36"/>
      <c r="B74" s="37"/>
      <c r="C74" s="38"/>
      <c r="D74" s="92"/>
      <c r="E74" s="92"/>
      <c r="F74" s="92"/>
      <c r="G74" s="92"/>
      <c r="H74" s="211"/>
      <c r="I74" s="40"/>
      <c r="J74" s="79"/>
      <c r="K74" s="93"/>
      <c r="L74" s="79"/>
      <c r="M74" s="79"/>
      <c r="N74" s="93"/>
      <c r="O74" s="79"/>
      <c r="P74" s="79"/>
      <c r="U74" s="21"/>
      <c r="V74" s="21"/>
      <c r="W74" s="21"/>
      <c r="X74" s="21"/>
      <c r="Z74" s="202"/>
    </row>
    <row r="75" spans="1:26" ht="15">
      <c r="A75" s="212"/>
      <c r="B75" s="212"/>
      <c r="C75" s="212"/>
      <c r="D75" s="212"/>
      <c r="E75" s="212"/>
      <c r="F75" s="212"/>
      <c r="G75" s="212"/>
      <c r="H75" s="212"/>
      <c r="I75" s="212"/>
      <c r="J75" s="79"/>
      <c r="K75" s="102"/>
      <c r="L75" s="79"/>
      <c r="M75" s="79"/>
      <c r="N75" s="93"/>
      <c r="O75" s="79"/>
      <c r="P75" s="79"/>
      <c r="Q75" s="216"/>
      <c r="U75" s="21"/>
      <c r="V75" s="21"/>
      <c r="W75" s="21"/>
      <c r="X75" s="21"/>
      <c r="Z75" s="202"/>
    </row>
    <row r="76" spans="1:26" ht="15">
      <c r="A76" s="92"/>
      <c r="B76" s="93"/>
      <c r="C76" s="79"/>
      <c r="D76" s="11"/>
      <c r="E76" s="92"/>
      <c r="F76" s="93"/>
      <c r="G76" s="79"/>
      <c r="H76" s="79"/>
      <c r="I76" s="11"/>
      <c r="J76" s="79"/>
      <c r="K76" s="79"/>
      <c r="L76" s="79"/>
      <c r="M76" s="79"/>
      <c r="N76" s="93"/>
      <c r="O76" s="79"/>
      <c r="P76" s="79"/>
      <c r="Q76" s="216"/>
      <c r="U76" s="21"/>
      <c r="V76" s="21"/>
      <c r="W76" s="21"/>
      <c r="X76" s="21"/>
      <c r="Z76" s="202"/>
    </row>
    <row r="77" spans="1:26" ht="15">
      <c r="A77" s="79"/>
      <c r="B77" s="93"/>
      <c r="C77" s="79"/>
      <c r="D77" s="40"/>
      <c r="E77" s="79"/>
      <c r="F77" s="93"/>
      <c r="G77" s="79"/>
      <c r="H77" s="79"/>
      <c r="I77" s="40"/>
      <c r="J77" s="92"/>
      <c r="K77" s="92"/>
      <c r="L77" s="79"/>
      <c r="M77" s="79"/>
      <c r="N77" s="79"/>
      <c r="O77" s="79"/>
      <c r="P77" s="79"/>
      <c r="Q77" s="216"/>
      <c r="U77" s="21"/>
      <c r="V77" s="21"/>
      <c r="W77" s="21"/>
      <c r="X77" s="21"/>
      <c r="Z77" s="202"/>
    </row>
    <row r="78" spans="1:26" ht="15">
      <c r="A78" s="92"/>
      <c r="B78" s="93"/>
      <c r="C78" s="79"/>
      <c r="D78" s="11"/>
      <c r="E78" s="92"/>
      <c r="F78" s="93"/>
      <c r="G78" s="79"/>
      <c r="H78" s="79"/>
      <c r="I78" s="11"/>
      <c r="J78" s="92"/>
      <c r="K78" s="92"/>
      <c r="L78" s="79"/>
      <c r="M78" s="79"/>
      <c r="N78" s="79"/>
      <c r="O78" s="79"/>
      <c r="P78" s="79"/>
      <c r="Q78" s="216"/>
      <c r="U78" s="21"/>
      <c r="V78" s="21"/>
      <c r="W78" s="21"/>
      <c r="X78" s="21"/>
      <c r="Z78" s="202"/>
    </row>
    <row r="79" spans="1:24" ht="12.75">
      <c r="A79" s="92"/>
      <c r="B79" s="92"/>
      <c r="C79" s="79"/>
      <c r="D79" s="11"/>
      <c r="E79" s="92"/>
      <c r="F79" s="92"/>
      <c r="J79" s="92"/>
      <c r="K79" s="92"/>
      <c r="L79" s="212"/>
      <c r="M79" s="212"/>
      <c r="N79" s="212"/>
      <c r="O79" s="212"/>
      <c r="P79" s="79"/>
      <c r="Q79" s="216"/>
      <c r="U79" s="21"/>
      <c r="V79" s="21"/>
      <c r="W79" s="21"/>
      <c r="X79" s="21"/>
    </row>
    <row r="80" spans="1:24" ht="12.75">
      <c r="A80" s="92"/>
      <c r="B80" s="102"/>
      <c r="C80" s="79"/>
      <c r="D80" s="11"/>
      <c r="E80" s="92"/>
      <c r="F80" s="211"/>
      <c r="J80" s="92"/>
      <c r="K80" s="92"/>
      <c r="L80" s="79"/>
      <c r="M80" s="79"/>
      <c r="N80" s="79"/>
      <c r="O80" s="79"/>
      <c r="P80" s="79"/>
      <c r="Q80" s="216"/>
      <c r="U80" s="21"/>
      <c r="V80" s="21"/>
      <c r="W80" s="21"/>
      <c r="X80" s="21"/>
    </row>
    <row r="81" spans="1:24" ht="12.75">
      <c r="A81" s="92"/>
      <c r="B81" s="209"/>
      <c r="C81" s="79"/>
      <c r="D81" s="11"/>
      <c r="E81" s="92"/>
      <c r="F81" s="209"/>
      <c r="J81" s="92"/>
      <c r="K81" s="92"/>
      <c r="L81" s="79"/>
      <c r="M81" s="79"/>
      <c r="N81" s="79"/>
      <c r="O81" s="79"/>
      <c r="P81" s="79"/>
      <c r="Q81" s="216"/>
      <c r="U81" s="21"/>
      <c r="V81" s="21"/>
      <c r="W81" s="21"/>
      <c r="X81" s="21"/>
    </row>
    <row r="82" spans="1:24" ht="12.75">
      <c r="A82" s="92"/>
      <c r="B82" s="209"/>
      <c r="C82" s="79"/>
      <c r="D82" s="11"/>
      <c r="E82" s="92"/>
      <c r="F82" s="211"/>
      <c r="J82" s="92"/>
      <c r="K82" s="92"/>
      <c r="L82" s="79"/>
      <c r="M82" s="79"/>
      <c r="N82" s="79"/>
      <c r="O82" s="79"/>
      <c r="P82" s="79"/>
      <c r="Q82" s="216"/>
      <c r="U82" s="21"/>
      <c r="V82" s="21"/>
      <c r="W82" s="21"/>
      <c r="X82" s="21"/>
    </row>
    <row r="83" spans="1:24" ht="12.75">
      <c r="A83" s="92"/>
      <c r="B83" s="92"/>
      <c r="C83" s="92"/>
      <c r="D83" s="92"/>
      <c r="E83" s="11"/>
      <c r="F83" s="92"/>
      <c r="J83" s="92"/>
      <c r="K83" s="92"/>
      <c r="L83" s="79"/>
      <c r="M83" s="79"/>
      <c r="N83" s="93"/>
      <c r="O83" s="79"/>
      <c r="P83" s="79"/>
      <c r="Q83" s="216"/>
      <c r="U83" s="21"/>
      <c r="V83" s="21"/>
      <c r="W83" s="21"/>
      <c r="X83" s="21"/>
    </row>
    <row r="84" spans="1:17" ht="12.75">
      <c r="A84" s="212"/>
      <c r="B84" s="212"/>
      <c r="C84" s="212"/>
      <c r="D84" s="212"/>
      <c r="E84" s="212"/>
      <c r="F84" s="212"/>
      <c r="J84" s="212"/>
      <c r="K84" s="212"/>
      <c r="L84" s="79"/>
      <c r="M84" s="79"/>
      <c r="N84" s="79"/>
      <c r="O84" s="79"/>
      <c r="P84" s="79"/>
      <c r="Q84" s="216"/>
    </row>
    <row r="85" spans="1:17" ht="12.75">
      <c r="A85" s="79"/>
      <c r="B85" s="79"/>
      <c r="C85" s="79"/>
      <c r="D85" s="79"/>
      <c r="E85" s="79"/>
      <c r="F85" s="79"/>
      <c r="J85" s="79"/>
      <c r="K85" s="79"/>
      <c r="L85" s="79"/>
      <c r="M85" s="79"/>
      <c r="N85" s="79"/>
      <c r="O85" s="79"/>
      <c r="P85" s="79"/>
      <c r="Q85" s="216"/>
    </row>
    <row r="86" spans="1:17" ht="12.75">
      <c r="A86" s="92"/>
      <c r="B86" s="11"/>
      <c r="C86" s="11"/>
      <c r="D86" s="92"/>
      <c r="E86" s="93"/>
      <c r="F86" s="11"/>
      <c r="J86" s="92"/>
      <c r="K86" s="93"/>
      <c r="L86" s="79"/>
      <c r="M86" s="79"/>
      <c r="N86" s="79"/>
      <c r="O86" s="79"/>
      <c r="P86" s="79"/>
      <c r="Q86" s="216"/>
    </row>
    <row r="87" spans="1:17" ht="12.75">
      <c r="A87" s="92"/>
      <c r="B87" s="93"/>
      <c r="C87" s="11"/>
      <c r="D87" s="92"/>
      <c r="E87" s="217"/>
      <c r="F87" s="11"/>
      <c r="J87" s="92"/>
      <c r="K87" s="215"/>
      <c r="L87" s="212"/>
      <c r="M87" s="212"/>
      <c r="N87" s="212"/>
      <c r="O87" s="212"/>
      <c r="P87" s="79"/>
      <c r="Q87" s="216"/>
    </row>
    <row r="88" spans="1:16" ht="12.75">
      <c r="A88" s="92"/>
      <c r="B88" s="92"/>
      <c r="C88" s="92"/>
      <c r="D88" s="92"/>
      <c r="E88" s="92"/>
      <c r="F88" s="92"/>
      <c r="J88" s="210"/>
      <c r="K88" s="93"/>
      <c r="L88" s="79"/>
      <c r="M88" s="79"/>
      <c r="N88" s="79"/>
      <c r="O88" s="79"/>
      <c r="P88" s="79"/>
    </row>
    <row r="89" spans="1:16" ht="12.75">
      <c r="A89" s="92"/>
      <c r="B89" s="11"/>
      <c r="C89" s="11"/>
      <c r="D89" s="92"/>
      <c r="E89" s="11"/>
      <c r="F89" s="11"/>
      <c r="J89" s="11"/>
      <c r="K89" s="93"/>
      <c r="L89" s="79"/>
      <c r="M89" s="79"/>
      <c r="N89" s="79"/>
      <c r="O89" s="79"/>
      <c r="P89" s="79"/>
    </row>
    <row r="90" spans="1:16" ht="12.75">
      <c r="A90" s="92"/>
      <c r="B90" s="92"/>
      <c r="C90" s="92"/>
      <c r="D90" s="92"/>
      <c r="E90" s="92"/>
      <c r="F90" s="92"/>
      <c r="J90" s="92"/>
      <c r="K90" s="92"/>
      <c r="L90" s="79"/>
      <c r="M90" s="79"/>
      <c r="N90" s="79"/>
      <c r="O90" s="79"/>
      <c r="P90" s="79"/>
    </row>
    <row r="91" spans="1:16" ht="12.75">
      <c r="A91" s="92"/>
      <c r="B91" s="92"/>
      <c r="C91" s="92"/>
      <c r="D91" s="92"/>
      <c r="E91" s="92"/>
      <c r="F91" s="92"/>
      <c r="J91" s="92"/>
      <c r="K91" s="92"/>
      <c r="L91" s="79"/>
      <c r="M91" s="79"/>
      <c r="N91" s="93"/>
      <c r="O91" s="79"/>
      <c r="P91" s="79"/>
    </row>
    <row r="92" spans="1:16" ht="12.75">
      <c r="A92" s="92"/>
      <c r="B92" s="92"/>
      <c r="C92" s="92"/>
      <c r="D92" s="92"/>
      <c r="E92" s="92"/>
      <c r="F92" s="92"/>
      <c r="J92" s="92"/>
      <c r="K92" s="92"/>
      <c r="L92" s="79"/>
      <c r="M92" s="79"/>
      <c r="N92" s="93"/>
      <c r="O92" s="79"/>
      <c r="P92" s="79"/>
    </row>
    <row r="93" spans="10:24" ht="12.75">
      <c r="J93" s="79"/>
      <c r="K93" s="102"/>
      <c r="L93" s="79"/>
      <c r="M93" s="79"/>
      <c r="N93" s="93"/>
      <c r="O93" s="79"/>
      <c r="P93" s="92"/>
      <c r="Q93" s="92"/>
      <c r="R93" s="92"/>
      <c r="S93" s="92"/>
      <c r="T93" s="92"/>
      <c r="U93" s="92"/>
      <c r="V93" s="92"/>
      <c r="W93" s="92"/>
      <c r="X93" s="92"/>
    </row>
    <row r="94" spans="10:24" ht="12.75">
      <c r="J94" s="101"/>
      <c r="K94" s="102"/>
      <c r="L94" s="79"/>
      <c r="M94" s="79"/>
      <c r="N94" s="79"/>
      <c r="O94" s="79"/>
      <c r="P94" s="92"/>
      <c r="Q94" s="92"/>
      <c r="R94" s="92"/>
      <c r="S94" s="92"/>
      <c r="T94" s="92"/>
      <c r="U94" s="92"/>
      <c r="V94" s="92"/>
      <c r="W94" s="92"/>
      <c r="X94" s="92"/>
    </row>
    <row r="95" spans="10:24" ht="12.75">
      <c r="J95" s="101"/>
      <c r="K95" s="40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</row>
    <row r="96" spans="10:24" ht="12.75">
      <c r="J96" s="79"/>
      <c r="K96" s="40"/>
      <c r="L96" s="79"/>
      <c r="M96" s="79"/>
      <c r="N96" s="79"/>
      <c r="O96" s="102"/>
      <c r="P96" s="79"/>
      <c r="Q96" s="79"/>
      <c r="R96" s="79"/>
      <c r="S96" s="79"/>
      <c r="T96" s="79"/>
      <c r="U96" s="79"/>
      <c r="V96" s="79"/>
      <c r="W96" s="79"/>
      <c r="X96" s="79"/>
    </row>
    <row r="97" spans="10:24" ht="12.75">
      <c r="J97" s="79"/>
      <c r="K97" s="102"/>
      <c r="L97" s="79"/>
      <c r="M97" s="79"/>
      <c r="N97" s="101"/>
      <c r="O97" s="102"/>
      <c r="P97" s="79"/>
      <c r="Q97" s="79"/>
      <c r="R97" s="79"/>
      <c r="S97" s="79"/>
      <c r="T97" s="79"/>
      <c r="U97" s="79"/>
      <c r="V97" s="79"/>
      <c r="W97" s="79"/>
      <c r="X97" s="79"/>
    </row>
    <row r="98" spans="10:24" ht="12.75">
      <c r="J98" s="79"/>
      <c r="K98" s="102"/>
      <c r="L98" s="79"/>
      <c r="M98" s="79"/>
      <c r="N98" s="101"/>
      <c r="O98" s="102"/>
      <c r="P98" s="79"/>
      <c r="Q98" s="79"/>
      <c r="R98" s="79"/>
      <c r="S98" s="79"/>
      <c r="T98" s="79"/>
      <c r="U98" s="79"/>
      <c r="V98" s="79"/>
      <c r="W98" s="79"/>
      <c r="X98" s="79"/>
    </row>
    <row r="99" spans="10:24" ht="12.75">
      <c r="J99" s="79"/>
      <c r="K99" s="11"/>
      <c r="L99" s="79"/>
      <c r="M99" s="79"/>
      <c r="N99" s="79"/>
      <c r="O99" s="102"/>
      <c r="P99" s="92"/>
      <c r="Q99" s="92"/>
      <c r="R99" s="92"/>
      <c r="S99" s="92"/>
      <c r="T99" s="92"/>
      <c r="U99" s="92"/>
      <c r="V99" s="92"/>
      <c r="W99" s="92"/>
      <c r="X99" s="92"/>
    </row>
    <row r="100" spans="10:24" ht="12.75">
      <c r="J100" s="79"/>
      <c r="K100" s="102"/>
      <c r="L100" s="79"/>
      <c r="M100" s="79"/>
      <c r="N100" s="79"/>
      <c r="O100" s="102"/>
      <c r="P100" s="92"/>
      <c r="Q100" s="92"/>
      <c r="R100" s="92"/>
      <c r="S100" s="92"/>
      <c r="T100" s="92"/>
      <c r="U100" s="92"/>
      <c r="V100" s="92"/>
      <c r="W100" s="92"/>
      <c r="X100" s="92"/>
    </row>
    <row r="101" spans="10:24" ht="12.75">
      <c r="J101" s="101"/>
      <c r="K101" s="102"/>
      <c r="L101" s="79"/>
      <c r="M101" s="79"/>
      <c r="N101" s="79"/>
      <c r="O101" s="102"/>
      <c r="P101" s="92"/>
      <c r="Q101" s="92"/>
      <c r="R101" s="92"/>
      <c r="S101" s="92"/>
      <c r="T101" s="92"/>
      <c r="U101" s="92"/>
      <c r="V101" s="92"/>
      <c r="W101" s="92"/>
      <c r="X101" s="92"/>
    </row>
    <row r="102" spans="10:24" ht="12.75">
      <c r="J102" s="93"/>
      <c r="K102" s="93"/>
      <c r="L102" s="93"/>
      <c r="M102" s="93"/>
      <c r="N102" s="93"/>
      <c r="O102" s="79"/>
      <c r="P102" s="79"/>
      <c r="Q102" s="79"/>
      <c r="R102" s="79"/>
      <c r="S102" s="79"/>
      <c r="T102" s="79"/>
      <c r="U102" s="79"/>
      <c r="V102" s="79"/>
      <c r="W102" s="79"/>
      <c r="X102" s="79"/>
    </row>
    <row r="103" spans="10:24" ht="12.75"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</row>
    <row r="104" spans="10:24" ht="12.75">
      <c r="J104" s="79"/>
      <c r="K104" s="40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</row>
    <row r="105" spans="10:24" ht="12.75">
      <c r="J105" s="79"/>
      <c r="K105" s="40"/>
      <c r="L105" s="79"/>
      <c r="M105" s="79"/>
      <c r="N105" s="101"/>
      <c r="O105" s="79"/>
      <c r="P105" s="79"/>
      <c r="Q105" s="79"/>
      <c r="R105" s="79"/>
      <c r="S105" s="79"/>
      <c r="T105" s="79"/>
      <c r="U105" s="79"/>
      <c r="V105" s="79"/>
      <c r="W105" s="79"/>
      <c r="X105" s="79"/>
    </row>
    <row r="106" spans="10:24" ht="12.75">
      <c r="J106" s="92"/>
      <c r="K106" s="11"/>
      <c r="L106" s="92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</row>
    <row r="107" spans="10:24" ht="12.75">
      <c r="J107" s="92"/>
      <c r="K107" s="11"/>
      <c r="L107" s="92"/>
      <c r="M107" s="92"/>
      <c r="N107" s="92"/>
      <c r="O107" s="11"/>
      <c r="P107" s="92"/>
      <c r="Q107" s="92"/>
      <c r="R107" s="92"/>
      <c r="S107" s="92"/>
      <c r="T107" s="92"/>
      <c r="U107" s="92"/>
      <c r="V107" s="92"/>
      <c r="W107" s="92"/>
      <c r="X107" s="92"/>
    </row>
    <row r="108" spans="10:24" ht="12.75">
      <c r="J108" s="79"/>
      <c r="K108" s="11"/>
      <c r="L108" s="79"/>
      <c r="M108" s="92"/>
      <c r="N108" s="92"/>
      <c r="O108" s="11"/>
      <c r="P108" s="92"/>
      <c r="Q108" s="92"/>
      <c r="R108" s="92"/>
      <c r="S108" s="92"/>
      <c r="T108" s="92"/>
      <c r="U108" s="92"/>
      <c r="V108" s="92"/>
      <c r="W108" s="92"/>
      <c r="X108" s="92"/>
    </row>
    <row r="109" spans="10:24" ht="12.75">
      <c r="J109" s="79"/>
      <c r="K109" s="102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</row>
    <row r="110" spans="10:24" ht="12.75">
      <c r="J110" s="79"/>
      <c r="K110" s="102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</row>
    <row r="111" spans="10:24" ht="12.75">
      <c r="J111" s="101"/>
      <c r="K111" s="79"/>
      <c r="L111" s="79"/>
      <c r="M111" s="79"/>
      <c r="N111" s="101"/>
      <c r="O111" s="79"/>
      <c r="P111" s="79"/>
      <c r="Q111" s="79"/>
      <c r="R111" s="79"/>
      <c r="S111" s="79"/>
      <c r="T111" s="79"/>
      <c r="U111" s="79"/>
      <c r="V111" s="79"/>
      <c r="W111" s="79"/>
      <c r="X111" s="79"/>
    </row>
    <row r="112" spans="10:24" ht="12.75">
      <c r="J112" s="101"/>
      <c r="K112" s="79"/>
      <c r="L112" s="79"/>
      <c r="M112" s="79"/>
      <c r="N112" s="101"/>
      <c r="O112" s="79"/>
      <c r="P112" s="79"/>
      <c r="Q112" s="79"/>
      <c r="R112" s="79"/>
      <c r="S112" s="79"/>
      <c r="T112" s="79"/>
      <c r="U112" s="79"/>
      <c r="V112" s="79"/>
      <c r="W112" s="79"/>
      <c r="X112" s="79"/>
    </row>
    <row r="113" spans="10:24" ht="12.75">
      <c r="J113" s="79"/>
      <c r="K113" s="40"/>
      <c r="L113" s="79"/>
      <c r="M113" s="79"/>
      <c r="N113" s="79"/>
      <c r="O113" s="102"/>
      <c r="P113" s="79"/>
      <c r="Q113" s="79"/>
      <c r="R113" s="79"/>
      <c r="S113" s="79"/>
      <c r="T113" s="79"/>
      <c r="U113" s="79"/>
      <c r="V113" s="79"/>
      <c r="W113" s="79"/>
      <c r="X113" s="79"/>
    </row>
    <row r="114" spans="10:24" ht="12.75">
      <c r="J114" s="79"/>
      <c r="K114" s="102"/>
      <c r="L114" s="79"/>
      <c r="M114" s="79"/>
      <c r="N114" s="101"/>
      <c r="O114" s="102"/>
      <c r="P114" s="79"/>
      <c r="Q114" s="79"/>
      <c r="R114" s="79"/>
      <c r="S114" s="79"/>
      <c r="T114" s="79"/>
      <c r="U114" s="79"/>
      <c r="V114" s="79"/>
      <c r="W114" s="79"/>
      <c r="X114" s="79"/>
    </row>
    <row r="115" spans="10:24" ht="12.75">
      <c r="J115" s="79"/>
      <c r="K115" s="102"/>
      <c r="L115" s="79"/>
      <c r="M115" s="79"/>
      <c r="N115" s="101"/>
      <c r="O115" s="102"/>
      <c r="P115" s="79"/>
      <c r="Q115" s="79"/>
      <c r="R115" s="79"/>
      <c r="S115" s="79"/>
      <c r="T115" s="79"/>
      <c r="U115" s="79"/>
      <c r="V115" s="79"/>
      <c r="W115" s="79"/>
      <c r="X115" s="79"/>
    </row>
    <row r="116" spans="10:24" ht="12.75">
      <c r="J116" s="79"/>
      <c r="K116" s="11"/>
      <c r="L116" s="79"/>
      <c r="M116" s="79"/>
      <c r="N116" s="79"/>
      <c r="O116" s="102"/>
      <c r="P116" s="92"/>
      <c r="Q116" s="92"/>
      <c r="R116" s="92"/>
      <c r="S116" s="92"/>
      <c r="T116" s="92"/>
      <c r="U116" s="92"/>
      <c r="V116" s="92"/>
      <c r="W116" s="92"/>
      <c r="X116" s="92"/>
    </row>
    <row r="117" spans="10:24" ht="12.75">
      <c r="J117" s="79"/>
      <c r="K117" s="102"/>
      <c r="L117" s="79"/>
      <c r="M117" s="79"/>
      <c r="N117" s="79"/>
      <c r="O117" s="102"/>
      <c r="P117" s="92"/>
      <c r="Q117" s="92"/>
      <c r="R117" s="92"/>
      <c r="S117" s="92"/>
      <c r="T117" s="92"/>
      <c r="U117" s="92"/>
      <c r="V117" s="92"/>
      <c r="W117" s="92"/>
      <c r="X117" s="92"/>
    </row>
    <row r="118" spans="10:24" ht="12.75">
      <c r="J118" s="101"/>
      <c r="K118" s="102"/>
      <c r="L118" s="79"/>
      <c r="M118" s="79"/>
      <c r="N118" s="79"/>
      <c r="O118" s="102"/>
      <c r="P118" s="92"/>
      <c r="Q118" s="92"/>
      <c r="R118" s="92"/>
      <c r="S118" s="92"/>
      <c r="T118" s="92"/>
      <c r="U118" s="92"/>
      <c r="V118" s="92"/>
      <c r="W118" s="92"/>
      <c r="X118" s="92"/>
    </row>
    <row r="119" spans="10:24" ht="12.75">
      <c r="J119" s="101"/>
      <c r="K119" s="40"/>
      <c r="L119" s="79"/>
      <c r="M119" s="79"/>
      <c r="N119" s="101"/>
      <c r="O119" s="40"/>
      <c r="P119" s="79"/>
      <c r="Q119" s="79"/>
      <c r="R119" s="79"/>
      <c r="S119" s="79"/>
      <c r="T119" s="79"/>
      <c r="U119" s="79"/>
      <c r="V119" s="79"/>
      <c r="W119" s="79"/>
      <c r="X119" s="79"/>
    </row>
    <row r="120" spans="10:24" ht="12.75">
      <c r="J120" s="79"/>
      <c r="K120" s="40"/>
      <c r="L120" s="79"/>
      <c r="M120" s="79"/>
      <c r="N120" s="79"/>
      <c r="O120" s="102"/>
      <c r="P120" s="79"/>
      <c r="Q120" s="79"/>
      <c r="R120" s="79"/>
      <c r="S120" s="79"/>
      <c r="T120" s="79"/>
      <c r="U120" s="79"/>
      <c r="V120" s="79"/>
      <c r="W120" s="79"/>
      <c r="X120" s="79"/>
    </row>
    <row r="121" spans="10:24" ht="12.75">
      <c r="J121" s="79"/>
      <c r="K121" s="102"/>
      <c r="L121" s="79"/>
      <c r="M121" s="79"/>
      <c r="N121" s="101"/>
      <c r="O121" s="102"/>
      <c r="P121" s="79"/>
      <c r="Q121" s="79"/>
      <c r="R121" s="79"/>
      <c r="S121" s="79"/>
      <c r="T121" s="79"/>
      <c r="U121" s="79"/>
      <c r="V121" s="79"/>
      <c r="W121" s="79"/>
      <c r="X121" s="79"/>
    </row>
    <row r="122" spans="10:24" ht="12.75">
      <c r="J122" s="79"/>
      <c r="K122" s="102"/>
      <c r="L122" s="79"/>
      <c r="M122" s="79"/>
      <c r="N122" s="101"/>
      <c r="O122" s="102"/>
      <c r="P122" s="79"/>
      <c r="Q122" s="79"/>
      <c r="R122" s="79"/>
      <c r="S122" s="79"/>
      <c r="T122" s="79"/>
      <c r="U122" s="79"/>
      <c r="V122" s="79"/>
      <c r="W122" s="79"/>
      <c r="X122" s="79"/>
    </row>
    <row r="123" spans="10:24" ht="12.75">
      <c r="J123" s="79"/>
      <c r="K123" s="11"/>
      <c r="L123" s="79"/>
      <c r="M123" s="79"/>
      <c r="N123" s="79"/>
      <c r="O123" s="102"/>
      <c r="P123" s="92"/>
      <c r="Q123" s="92"/>
      <c r="R123" s="92"/>
      <c r="S123" s="92"/>
      <c r="T123" s="92"/>
      <c r="U123" s="92"/>
      <c r="V123" s="92"/>
      <c r="W123" s="92"/>
      <c r="X123" s="92"/>
    </row>
    <row r="124" spans="10:24" ht="12.75">
      <c r="J124" s="79"/>
      <c r="K124" s="102"/>
      <c r="L124" s="79"/>
      <c r="M124" s="79"/>
      <c r="N124" s="79"/>
      <c r="O124" s="102"/>
      <c r="P124" s="92"/>
      <c r="Q124" s="92"/>
      <c r="R124" s="92"/>
      <c r="S124" s="92"/>
      <c r="T124" s="92"/>
      <c r="U124" s="92"/>
      <c r="V124" s="92"/>
      <c r="W124" s="92"/>
      <c r="X124" s="92"/>
    </row>
    <row r="125" spans="10:24" ht="12.75">
      <c r="J125" s="101"/>
      <c r="K125" s="102"/>
      <c r="L125" s="79"/>
      <c r="M125" s="79"/>
      <c r="N125" s="79"/>
      <c r="O125" s="102"/>
      <c r="P125" s="92"/>
      <c r="Q125" s="92"/>
      <c r="R125" s="92"/>
      <c r="S125" s="92"/>
      <c r="T125" s="92"/>
      <c r="U125" s="92"/>
      <c r="V125" s="92"/>
      <c r="W125" s="92"/>
      <c r="X125" s="92"/>
    </row>
  </sheetData>
  <sheetProtection/>
  <mergeCells count="128">
    <mergeCell ref="Q55:R55"/>
    <mergeCell ref="Q57:R57"/>
    <mergeCell ref="Q56:R56"/>
    <mergeCell ref="Q39:T39"/>
    <mergeCell ref="D63:I63"/>
    <mergeCell ref="M57:N57"/>
    <mergeCell ref="M49:N49"/>
    <mergeCell ref="M36:N36"/>
    <mergeCell ref="J51:L51"/>
    <mergeCell ref="G44:I44"/>
    <mergeCell ref="J39:L39"/>
    <mergeCell ref="J46:L46"/>
    <mergeCell ref="J58:L58"/>
    <mergeCell ref="M35:N35"/>
    <mergeCell ref="M51:N51"/>
    <mergeCell ref="M52:N52"/>
    <mergeCell ref="M55:N55"/>
    <mergeCell ref="M54:P54"/>
    <mergeCell ref="O48:P48"/>
    <mergeCell ref="M43:N43"/>
    <mergeCell ref="M47:N47"/>
    <mergeCell ref="Y1:AA1"/>
    <mergeCell ref="M39:P39"/>
    <mergeCell ref="M40:P40"/>
    <mergeCell ref="Q36:R36"/>
    <mergeCell ref="Q38:R38"/>
    <mergeCell ref="Q26:R26"/>
    <mergeCell ref="Q15:R15"/>
    <mergeCell ref="Q18:R18"/>
    <mergeCell ref="M17:N17"/>
    <mergeCell ref="Q5:R5"/>
    <mergeCell ref="Q30:R30"/>
    <mergeCell ref="M31:N31"/>
    <mergeCell ref="M30:N30"/>
    <mergeCell ref="Q34:R34"/>
    <mergeCell ref="Q37:R37"/>
    <mergeCell ref="M32:N32"/>
    <mergeCell ref="O47:P47"/>
    <mergeCell ref="Q28:R28"/>
    <mergeCell ref="M29:N29"/>
    <mergeCell ref="Q29:R29"/>
    <mergeCell ref="M45:N45"/>
    <mergeCell ref="M41:N41"/>
    <mergeCell ref="M42:N42"/>
    <mergeCell ref="M37:N37"/>
    <mergeCell ref="Q14:R14"/>
    <mergeCell ref="M34:N34"/>
    <mergeCell ref="M33:N33"/>
    <mergeCell ref="Q35:R35"/>
    <mergeCell ref="Q33:R33"/>
    <mergeCell ref="Q16:R16"/>
    <mergeCell ref="Q17:R17"/>
    <mergeCell ref="Q24:R24"/>
    <mergeCell ref="Q25:R25"/>
    <mergeCell ref="M16:N16"/>
    <mergeCell ref="A70:C70"/>
    <mergeCell ref="D45:F45"/>
    <mergeCell ref="D48:F48"/>
    <mergeCell ref="A26:C26"/>
    <mergeCell ref="D26:F26"/>
    <mergeCell ref="D34:F34"/>
    <mergeCell ref="A39:C40"/>
    <mergeCell ref="D39:F40"/>
    <mergeCell ref="A47:C48"/>
    <mergeCell ref="A63:C63"/>
    <mergeCell ref="A45:C45"/>
    <mergeCell ref="A58:C58"/>
    <mergeCell ref="D58:F58"/>
    <mergeCell ref="G55:I55"/>
    <mergeCell ref="A52:C52"/>
    <mergeCell ref="D52:F52"/>
    <mergeCell ref="G47:I47"/>
    <mergeCell ref="Q4:R4"/>
    <mergeCell ref="M1:P1"/>
    <mergeCell ref="G60:I60"/>
    <mergeCell ref="G52:I52"/>
    <mergeCell ref="Q10:R10"/>
    <mergeCell ref="Q11:R11"/>
    <mergeCell ref="Q12:R12"/>
    <mergeCell ref="M20:P20"/>
    <mergeCell ref="Q20:T20"/>
    <mergeCell ref="M18:N18"/>
    <mergeCell ref="Q1:T1"/>
    <mergeCell ref="M2:N2"/>
    <mergeCell ref="Q2:R2"/>
    <mergeCell ref="M3:N3"/>
    <mergeCell ref="Q3:R3"/>
    <mergeCell ref="Q6:R6"/>
    <mergeCell ref="M7:N7"/>
    <mergeCell ref="Q7:R7"/>
    <mergeCell ref="Q9:R9"/>
    <mergeCell ref="M10:N10"/>
    <mergeCell ref="M6:N6"/>
    <mergeCell ref="M4:N4"/>
    <mergeCell ref="M8:N8"/>
    <mergeCell ref="J9:L9"/>
    <mergeCell ref="D9:F9"/>
    <mergeCell ref="J1:L1"/>
    <mergeCell ref="M5:N5"/>
    <mergeCell ref="A1:C1"/>
    <mergeCell ref="D1:F1"/>
    <mergeCell ref="G1:I1"/>
    <mergeCell ref="A14:C14"/>
    <mergeCell ref="D14:F14"/>
    <mergeCell ref="M15:N15"/>
    <mergeCell ref="G14:I14"/>
    <mergeCell ref="M11:N11"/>
    <mergeCell ref="J14:L14"/>
    <mergeCell ref="A21:C21"/>
    <mergeCell ref="D21:F21"/>
    <mergeCell ref="G39:I39"/>
    <mergeCell ref="M26:N26"/>
    <mergeCell ref="G34:I34"/>
    <mergeCell ref="J26:L26"/>
    <mergeCell ref="G26:I26"/>
    <mergeCell ref="J21:L21"/>
    <mergeCell ref="M25:N25"/>
    <mergeCell ref="M24:N24"/>
    <mergeCell ref="Y2:AA2"/>
    <mergeCell ref="M27:N27"/>
    <mergeCell ref="Q23:R23"/>
    <mergeCell ref="Q21:R21"/>
    <mergeCell ref="Q22:R22"/>
    <mergeCell ref="M22:N22"/>
    <mergeCell ref="M23:N23"/>
    <mergeCell ref="M12:N12"/>
    <mergeCell ref="M13:N13"/>
    <mergeCell ref="M14:N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4"/>
  <sheetViews>
    <sheetView zoomScalePageLayoutView="0" workbookViewId="0" topLeftCell="A1">
      <selection activeCell="M112" sqref="M112:O112"/>
    </sheetView>
  </sheetViews>
  <sheetFormatPr defaultColWidth="9.140625" defaultRowHeight="12.75"/>
  <cols>
    <col min="1" max="1" width="12.00390625" style="0" customWidth="1"/>
    <col min="2" max="2" width="12.57421875" style="0" customWidth="1"/>
    <col min="3" max="3" width="12.140625" style="0" customWidth="1"/>
    <col min="4" max="4" width="13.00390625" style="0" customWidth="1"/>
    <col min="5" max="5" width="11.140625" style="0" customWidth="1"/>
    <col min="6" max="6" width="10.28125" style="0" customWidth="1"/>
    <col min="7" max="7" width="12.57421875" style="0" customWidth="1"/>
    <col min="8" max="8" width="11.8515625" style="0" customWidth="1"/>
    <col min="9" max="9" width="14.8515625" style="0" customWidth="1"/>
    <col min="10" max="10" width="16.28125" style="0" customWidth="1"/>
    <col min="11" max="11" width="9.7109375" style="0" customWidth="1"/>
    <col min="12" max="12" width="11.421875" style="0" customWidth="1"/>
    <col min="13" max="13" width="16.7109375" style="0" customWidth="1"/>
    <col min="14" max="14" width="12.57421875" style="0" customWidth="1"/>
    <col min="15" max="15" width="21.28125" style="0" customWidth="1"/>
  </cols>
  <sheetData>
    <row r="1" spans="1:16" ht="12.75">
      <c r="A1" s="824" t="s">
        <v>203</v>
      </c>
      <c r="B1" s="799"/>
      <c r="C1" s="799"/>
      <c r="D1" s="799"/>
      <c r="E1" s="824" t="s">
        <v>198</v>
      </c>
      <c r="F1" s="799"/>
      <c r="G1" s="799"/>
      <c r="H1" s="800"/>
      <c r="M1" s="837" t="s">
        <v>206</v>
      </c>
      <c r="N1" s="838"/>
      <c r="O1" s="838"/>
      <c r="P1" s="839"/>
    </row>
    <row r="2" spans="1:16" ht="13.5" thickBot="1">
      <c r="A2" s="835" t="s">
        <v>96</v>
      </c>
      <c r="B2" s="836"/>
      <c r="C2" s="327">
        <v>2</v>
      </c>
      <c r="D2" s="327" t="s">
        <v>3</v>
      </c>
      <c r="E2" s="915" t="s">
        <v>374</v>
      </c>
      <c r="F2" s="916"/>
      <c r="G2" s="327">
        <v>2</v>
      </c>
      <c r="H2" s="214" t="s">
        <v>3</v>
      </c>
      <c r="M2" s="798"/>
      <c r="N2" s="785"/>
      <c r="O2" s="785"/>
      <c r="P2" s="786"/>
    </row>
    <row r="3" spans="1:16" ht="12.75">
      <c r="A3" s="833" t="s">
        <v>375</v>
      </c>
      <c r="B3" s="834"/>
      <c r="C3" s="118">
        <v>100</v>
      </c>
      <c r="D3" s="57" t="s">
        <v>22</v>
      </c>
      <c r="E3" s="833" t="s">
        <v>375</v>
      </c>
      <c r="F3" s="834"/>
      <c r="G3" s="118">
        <v>50</v>
      </c>
      <c r="H3" s="339" t="s">
        <v>22</v>
      </c>
      <c r="M3" s="796" t="s">
        <v>371</v>
      </c>
      <c r="N3" s="929"/>
      <c r="O3" s="118">
        <v>50</v>
      </c>
      <c r="P3" s="296" t="s">
        <v>22</v>
      </c>
    </row>
    <row r="4" spans="1:16" ht="12.75">
      <c r="A4" s="833" t="s">
        <v>376</v>
      </c>
      <c r="B4" s="834"/>
      <c r="C4" s="141">
        <v>25</v>
      </c>
      <c r="D4" s="57" t="s">
        <v>22</v>
      </c>
      <c r="E4" s="833" t="s">
        <v>376</v>
      </c>
      <c r="F4" s="834"/>
      <c r="G4" s="141">
        <v>50</v>
      </c>
      <c r="H4" s="339">
        <v>60</v>
      </c>
      <c r="M4" s="796" t="s">
        <v>372</v>
      </c>
      <c r="N4" s="929"/>
      <c r="O4" s="140">
        <f>112.5/2</f>
        <v>56.25</v>
      </c>
      <c r="P4" s="296" t="s">
        <v>22</v>
      </c>
    </row>
    <row r="5" spans="1:16" ht="13.5" thickBot="1">
      <c r="A5" s="811" t="s">
        <v>378</v>
      </c>
      <c r="B5" s="812"/>
      <c r="C5" s="140">
        <v>1000</v>
      </c>
      <c r="D5" s="57" t="s">
        <v>22</v>
      </c>
      <c r="E5" s="811" t="s">
        <v>377</v>
      </c>
      <c r="F5" s="812"/>
      <c r="G5" s="119">
        <v>5</v>
      </c>
      <c r="H5" s="339" t="s">
        <v>4</v>
      </c>
      <c r="M5" s="796" t="s">
        <v>373</v>
      </c>
      <c r="N5" s="929"/>
      <c r="O5" s="119">
        <v>0</v>
      </c>
      <c r="P5" s="325" t="s">
        <v>22</v>
      </c>
    </row>
    <row r="6" spans="1:16" ht="12.75">
      <c r="A6" s="811" t="s">
        <v>379</v>
      </c>
      <c r="B6" s="812"/>
      <c r="C6" s="140">
        <v>198</v>
      </c>
      <c r="D6" s="58" t="s">
        <v>22</v>
      </c>
      <c r="E6" s="576"/>
      <c r="F6" s="577"/>
      <c r="G6" s="100"/>
      <c r="H6" s="339"/>
      <c r="M6" s="352"/>
      <c r="N6" s="323"/>
      <c r="O6" s="16"/>
      <c r="P6" s="325"/>
    </row>
    <row r="7" spans="1:16" ht="12.75">
      <c r="A7" s="811" t="s">
        <v>380</v>
      </c>
      <c r="B7" s="812"/>
      <c r="C7" s="140">
        <v>198</v>
      </c>
      <c r="D7" s="58" t="s">
        <v>22</v>
      </c>
      <c r="E7" s="811" t="s">
        <v>357</v>
      </c>
      <c r="F7" s="812"/>
      <c r="G7" s="115">
        <f>(G4/(G3*10^(G5/10)))^0.5</f>
        <v>0.5623413251903491</v>
      </c>
      <c r="H7" s="338" t="s">
        <v>3</v>
      </c>
      <c r="I7" s="436"/>
      <c r="J7" s="687"/>
      <c r="M7" s="15"/>
      <c r="N7" s="16"/>
      <c r="O7" s="16"/>
      <c r="P7" s="78"/>
    </row>
    <row r="8" spans="1:16" ht="13.5" thickBot="1">
      <c r="A8" s="831" t="s">
        <v>817</v>
      </c>
      <c r="B8" s="832"/>
      <c r="C8" s="119" t="s">
        <v>819</v>
      </c>
      <c r="D8" s="601" t="s">
        <v>820</v>
      </c>
      <c r="E8" s="811" t="s">
        <v>358</v>
      </c>
      <c r="F8" s="812"/>
      <c r="G8" s="123">
        <f>-($G$4*$G$3-$G$3^2*$G$7^2)/(2*$G$3*$G$7-$G$4-$G$3*$G$7^2)</f>
        <v>178.48855913456435</v>
      </c>
      <c r="H8" s="338" t="s">
        <v>22</v>
      </c>
      <c r="I8" s="436"/>
      <c r="M8" s="796" t="s">
        <v>392</v>
      </c>
      <c r="N8" s="929"/>
      <c r="O8" s="258" t="str">
        <f>COMPLEX(O4,O5,"j")</f>
        <v>56.25</v>
      </c>
      <c r="P8" s="325" t="s">
        <v>22</v>
      </c>
    </row>
    <row r="9" spans="1:16" ht="12.75">
      <c r="A9" s="174" t="s">
        <v>190</v>
      </c>
      <c r="B9" s="61"/>
      <c r="C9" s="61"/>
      <c r="D9" s="61"/>
      <c r="E9" s="811" t="s">
        <v>361</v>
      </c>
      <c r="F9" s="812"/>
      <c r="G9" s="123">
        <f>($G$3*$G$8*$G$4*$G$7)/($G$4*$G$8-$G$3*$G$8*$G$7-$G$4*$G$3)</f>
        <v>178.48855913456435</v>
      </c>
      <c r="H9" s="338" t="s">
        <v>22</v>
      </c>
      <c r="I9" s="436"/>
      <c r="M9" s="794" t="s">
        <v>393</v>
      </c>
      <c r="N9" s="795"/>
      <c r="O9" s="256">
        <f>(O4^2+O5^2)^0.5</f>
        <v>56.25</v>
      </c>
      <c r="P9" s="325" t="s">
        <v>22</v>
      </c>
    </row>
    <row r="10" spans="1:16" ht="12.75">
      <c r="A10" s="811" t="s">
        <v>381</v>
      </c>
      <c r="B10" s="812"/>
      <c r="C10" s="115">
        <f>(C3+(1/((1/C6)+(1/(C5+(1/((1/C7)+(1/C4))))))))</f>
        <v>265.870769999706</v>
      </c>
      <c r="D10" s="58" t="s">
        <v>22</v>
      </c>
      <c r="E10" s="811" t="s">
        <v>362</v>
      </c>
      <c r="F10" s="812"/>
      <c r="G10" s="123">
        <f>((1-$G$7)*($G$3*$G$8))/($G$8-$G$3)</f>
        <v>30.398452121214344</v>
      </c>
      <c r="H10" s="339" t="s">
        <v>22</v>
      </c>
      <c r="M10" s="254"/>
      <c r="N10" s="255"/>
      <c r="O10" s="16"/>
      <c r="P10" s="78"/>
    </row>
    <row r="11" spans="1:16" ht="13.5" thickBot="1">
      <c r="A11" s="811" t="s">
        <v>382</v>
      </c>
      <c r="B11" s="812"/>
      <c r="C11" s="115">
        <f>C2/C10</f>
        <v>0.007522451603093531</v>
      </c>
      <c r="D11" s="338" t="s">
        <v>34</v>
      </c>
      <c r="E11" s="928"/>
      <c r="F11" s="928"/>
      <c r="G11" s="115"/>
      <c r="H11" s="339"/>
      <c r="M11" s="930" t="s">
        <v>241</v>
      </c>
      <c r="N11" s="931"/>
      <c r="O11" s="370" t="s">
        <v>238</v>
      </c>
      <c r="P11" s="333"/>
    </row>
    <row r="12" spans="1:16" ht="12.75">
      <c r="A12" s="811" t="s">
        <v>370</v>
      </c>
      <c r="B12" s="812"/>
      <c r="C12" s="115">
        <f>C2-(C11*C3)</f>
        <v>1.2477548396906468</v>
      </c>
      <c r="D12" s="58" t="s">
        <v>70</v>
      </c>
      <c r="E12" s="927"/>
      <c r="F12" s="927"/>
      <c r="G12" s="341"/>
      <c r="H12" s="395"/>
      <c r="M12" s="254"/>
      <c r="N12" s="369"/>
      <c r="O12" s="369" t="s">
        <v>237</v>
      </c>
      <c r="P12" s="252"/>
    </row>
    <row r="13" spans="1:16" ht="12.75">
      <c r="A13" s="811" t="s">
        <v>357</v>
      </c>
      <c r="B13" s="812"/>
      <c r="C13" s="115">
        <f>C12*(1/((1/C7)+(1/C4)))/(1/(((1/C7)+(1/C4)))+C5)</f>
        <v>0.027095356246846683</v>
      </c>
      <c r="D13" s="58" t="s">
        <v>70</v>
      </c>
      <c r="E13" s="138" t="s">
        <v>191</v>
      </c>
      <c r="F13" s="176" t="s">
        <v>199</v>
      </c>
      <c r="G13" s="178">
        <f>G19*(1/((1/C6)+(1/C3)))/(1/(((1/C6)+(1/C3)))+C5)</f>
        <v>0.10838142498738675</v>
      </c>
      <c r="H13" s="396" t="s">
        <v>3</v>
      </c>
      <c r="I13" s="436"/>
      <c r="M13" s="15"/>
      <c r="N13" s="16"/>
      <c r="O13" s="16"/>
      <c r="P13" s="78"/>
    </row>
    <row r="14" spans="1:16" ht="12.75">
      <c r="A14" s="833" t="s">
        <v>363</v>
      </c>
      <c r="B14" s="834"/>
      <c r="C14" s="115">
        <f>IF(C8="NO",10*LOG((C12^2/C15)/(C13^2/C4)),10*LOG((1/C3)/(C13^2/C4)))</f>
        <v>25.04638943150557</v>
      </c>
      <c r="D14" s="57" t="s">
        <v>4</v>
      </c>
      <c r="E14" s="812" t="s">
        <v>363</v>
      </c>
      <c r="F14" s="812"/>
      <c r="G14" s="115">
        <f>IF(C8="NO",10*LOG((G19^2/G15)/(G13^2/C3)),10*LOG((1/C4)/(G13^2/C3)))</f>
        <v>21.882738265279546</v>
      </c>
      <c r="H14" s="339" t="s">
        <v>4</v>
      </c>
      <c r="I14" s="436"/>
      <c r="M14" s="794" t="s">
        <v>241</v>
      </c>
      <c r="N14" s="795"/>
      <c r="O14" s="257">
        <f>((O4-O3)^2+O5^2)^0.5/((O4+O3)^2+O5^2)^0.5</f>
        <v>0.058823529411764705</v>
      </c>
      <c r="P14" s="78"/>
    </row>
    <row r="15" spans="1:16" ht="12.75">
      <c r="A15" s="833" t="s">
        <v>383</v>
      </c>
      <c r="B15" s="834"/>
      <c r="C15" s="115">
        <f>(1/((1/C6)+(1/(C5+(1/((1/C7)+(1/C4)))))))</f>
        <v>165.87076999970597</v>
      </c>
      <c r="D15" s="58" t="s">
        <v>22</v>
      </c>
      <c r="E15" s="812" t="s">
        <v>364</v>
      </c>
      <c r="F15" s="812"/>
      <c r="G15" s="115">
        <f>(1/((1/C7)+(1/(C5+(1/((1/C6)+(1/C3)))))))</f>
        <v>166.99504251547222</v>
      </c>
      <c r="H15" s="339" t="s">
        <v>22</v>
      </c>
      <c r="I15" s="436"/>
      <c r="M15" s="15"/>
      <c r="N15" s="16"/>
      <c r="O15" s="16"/>
      <c r="P15" s="78"/>
    </row>
    <row r="16" spans="1:16" ht="12.75">
      <c r="A16" s="833" t="s">
        <v>365</v>
      </c>
      <c r="B16" s="834"/>
      <c r="C16" s="115">
        <f>(C15-C3)/(C15+C3)</f>
        <v>0.24775483969064674</v>
      </c>
      <c r="D16" s="58"/>
      <c r="E16" s="834" t="s">
        <v>365</v>
      </c>
      <c r="F16" s="834"/>
      <c r="G16" s="115">
        <f>(G15-C4)/(G15+C4)</f>
        <v>0.7395766091409851</v>
      </c>
      <c r="H16" s="338"/>
      <c r="M16" s="932" t="s">
        <v>323</v>
      </c>
      <c r="N16" s="933"/>
      <c r="O16" s="933"/>
      <c r="P16" s="934"/>
    </row>
    <row r="17" spans="1:16" ht="12.75">
      <c r="A17" s="811" t="s">
        <v>384</v>
      </c>
      <c r="B17" s="812"/>
      <c r="C17" s="115">
        <f>IF(C16&gt;0,(1+C16)/(1-C16),(1-C16)/(1+C16))</f>
        <v>1.6587076999970596</v>
      </c>
      <c r="D17" s="58"/>
      <c r="E17" s="812" t="s">
        <v>366</v>
      </c>
      <c r="F17" s="812"/>
      <c r="G17" s="115">
        <f>IF(G16&gt;0,(1+G16)/(1-G16),(1-G16)/(1+G16))</f>
        <v>6.679801700618889</v>
      </c>
      <c r="H17" s="338"/>
      <c r="M17" s="15"/>
      <c r="N17" s="16"/>
      <c r="O17" s="16"/>
      <c r="P17" s="78"/>
    </row>
    <row r="18" spans="1:16" ht="12.75">
      <c r="A18" s="811" t="s">
        <v>324</v>
      </c>
      <c r="B18" s="812"/>
      <c r="C18" s="115">
        <f>ROUND(20*LOG10(IF(C16&gt;0,C16,C16*-1)),2)*-1</f>
        <v>12.12</v>
      </c>
      <c r="D18" s="58" t="s">
        <v>4</v>
      </c>
      <c r="E18" s="812" t="s">
        <v>324</v>
      </c>
      <c r="F18" s="812"/>
      <c r="G18" s="115">
        <f>ROUND(20*LOG10(IF(G16&gt;0,G16,G16*-1)),2)*-1</f>
        <v>2.62</v>
      </c>
      <c r="H18" s="338" t="s">
        <v>4</v>
      </c>
      <c r="M18" s="935" t="s">
        <v>326</v>
      </c>
      <c r="N18" s="788"/>
      <c r="O18" s="258">
        <f>IF(O14&gt;0,(1+O14)/(1-O14),((1-O14)/(1+O14)))</f>
        <v>1.125</v>
      </c>
      <c r="P18" s="252"/>
    </row>
    <row r="19" spans="1:16" ht="13.5" thickBot="1">
      <c r="A19" s="62"/>
      <c r="B19" s="63"/>
      <c r="C19" s="63"/>
      <c r="D19" s="63"/>
      <c r="E19" s="63"/>
      <c r="F19" s="397" t="s">
        <v>200</v>
      </c>
      <c r="G19" s="398">
        <f>C2*G15/(C4+G15)</f>
        <v>1.7395766091409852</v>
      </c>
      <c r="H19" s="399" t="s">
        <v>3</v>
      </c>
      <c r="M19" s="15"/>
      <c r="N19" s="16"/>
      <c r="O19" s="77"/>
      <c r="P19" s="78"/>
    </row>
    <row r="20" spans="1:16" ht="12.75">
      <c r="A20" s="824" t="s">
        <v>204</v>
      </c>
      <c r="B20" s="799"/>
      <c r="C20" s="799"/>
      <c r="D20" s="799"/>
      <c r="E20" s="824" t="s">
        <v>197</v>
      </c>
      <c r="F20" s="799"/>
      <c r="G20" s="799"/>
      <c r="H20" s="800"/>
      <c r="I20" s="436"/>
      <c r="M20" s="804" t="s">
        <v>156</v>
      </c>
      <c r="N20" s="805"/>
      <c r="O20" s="805"/>
      <c r="P20" s="806"/>
    </row>
    <row r="21" spans="1:16" ht="13.5" thickBot="1">
      <c r="A21" s="60"/>
      <c r="B21" s="176" t="s">
        <v>96</v>
      </c>
      <c r="C21" s="327">
        <v>2</v>
      </c>
      <c r="D21" s="327" t="s">
        <v>70</v>
      </c>
      <c r="E21" s="835" t="s">
        <v>96</v>
      </c>
      <c r="F21" s="836"/>
      <c r="G21" s="327">
        <v>2</v>
      </c>
      <c r="H21" s="214" t="s">
        <v>70</v>
      </c>
      <c r="I21" s="436"/>
      <c r="M21" s="15"/>
      <c r="N21" s="16"/>
      <c r="O21" s="16"/>
      <c r="P21" s="78"/>
    </row>
    <row r="22" spans="1:16" ht="12.75">
      <c r="A22" s="833" t="s">
        <v>375</v>
      </c>
      <c r="B22" s="834"/>
      <c r="C22" s="118">
        <v>100</v>
      </c>
      <c r="D22" s="57" t="s">
        <v>22</v>
      </c>
      <c r="E22" s="833" t="s">
        <v>375</v>
      </c>
      <c r="F22" s="834"/>
      <c r="G22" s="118">
        <v>50</v>
      </c>
      <c r="H22" s="339" t="s">
        <v>22</v>
      </c>
      <c r="M22" s="935" t="s">
        <v>324</v>
      </c>
      <c r="N22" s="788"/>
      <c r="O22" s="80">
        <f>ROUND(20*LOG10((O18-1)/(O18+1)),2)*-1</f>
        <v>24.61</v>
      </c>
      <c r="P22" s="325" t="s">
        <v>4</v>
      </c>
    </row>
    <row r="23" spans="1:16" ht="12.75">
      <c r="A23" s="833" t="s">
        <v>376</v>
      </c>
      <c r="B23" s="834"/>
      <c r="C23" s="141">
        <v>25</v>
      </c>
      <c r="D23" s="57" t="s">
        <v>22</v>
      </c>
      <c r="E23" s="833" t="s">
        <v>376</v>
      </c>
      <c r="F23" s="834"/>
      <c r="G23" s="141">
        <v>50</v>
      </c>
      <c r="H23" s="339" t="s">
        <v>22</v>
      </c>
      <c r="M23" s="254"/>
      <c r="N23" s="255"/>
      <c r="O23" s="77"/>
      <c r="P23" s="325"/>
    </row>
    <row r="24" spans="1:16" ht="13.5" thickBot="1">
      <c r="A24" s="811" t="s">
        <v>352</v>
      </c>
      <c r="B24" s="812"/>
      <c r="C24" s="140">
        <v>15</v>
      </c>
      <c r="D24" s="57" t="s">
        <v>22</v>
      </c>
      <c r="E24" s="811" t="s">
        <v>377</v>
      </c>
      <c r="F24" s="812"/>
      <c r="G24" s="119">
        <v>15</v>
      </c>
      <c r="H24" s="339" t="s">
        <v>4</v>
      </c>
      <c r="M24" s="794" t="s">
        <v>325</v>
      </c>
      <c r="N24" s="795"/>
      <c r="O24" s="258">
        <f>-10*LOG((1-O14^2),10)</f>
        <v>0.015053549973170295</v>
      </c>
      <c r="P24" s="325" t="s">
        <v>4</v>
      </c>
    </row>
    <row r="25" spans="1:16" ht="12.75">
      <c r="A25" s="811" t="s">
        <v>354</v>
      </c>
      <c r="B25" s="812"/>
      <c r="C25" s="140">
        <v>1000</v>
      </c>
      <c r="D25" s="58" t="s">
        <v>22</v>
      </c>
      <c r="E25" s="822"/>
      <c r="F25" s="823"/>
      <c r="G25" s="175"/>
      <c r="H25" s="56"/>
      <c r="M25" s="798"/>
      <c r="N25" s="785"/>
      <c r="O25" s="785"/>
      <c r="P25" s="786"/>
    </row>
    <row r="26" spans="1:16" ht="12.75">
      <c r="A26" s="811" t="s">
        <v>353</v>
      </c>
      <c r="B26" s="812"/>
      <c r="C26" s="140">
        <v>15</v>
      </c>
      <c r="D26" s="57" t="s">
        <v>22</v>
      </c>
      <c r="E26" s="811" t="s">
        <v>357</v>
      </c>
      <c r="F26" s="812"/>
      <c r="G26" s="123">
        <f>(G23/(G22*10^(G24/10)))^0.5</f>
        <v>0.17782794100389226</v>
      </c>
      <c r="H26" s="338" t="s">
        <v>3</v>
      </c>
      <c r="M26" s="798" t="s">
        <v>360</v>
      </c>
      <c r="N26" s="785"/>
      <c r="O26" s="785"/>
      <c r="P26" s="786"/>
    </row>
    <row r="27" spans="1:16" ht="13.5" thickBot="1">
      <c r="A27" s="831" t="s">
        <v>817</v>
      </c>
      <c r="B27" s="832"/>
      <c r="C27" s="119" t="s">
        <v>819</v>
      </c>
      <c r="D27" s="601" t="s">
        <v>820</v>
      </c>
      <c r="E27" s="811" t="s">
        <v>367</v>
      </c>
      <c r="F27" s="812"/>
      <c r="G27" s="123">
        <f>G22*(G22*G26^2+G23-2*G23*G26)/(G23-G22*G26^2)</f>
        <v>34.90204427886768</v>
      </c>
      <c r="H27" s="339" t="s">
        <v>22</v>
      </c>
      <c r="M27" s="578"/>
      <c r="N27" s="579"/>
      <c r="O27" s="579"/>
      <c r="P27" s="580"/>
    </row>
    <row r="28" spans="1:16" ht="13.5" thickBot="1">
      <c r="A28" s="174" t="s">
        <v>190</v>
      </c>
      <c r="B28" s="61"/>
      <c r="C28" s="61"/>
      <c r="D28" s="61"/>
      <c r="E28" s="811" t="s">
        <v>368</v>
      </c>
      <c r="F28" s="812"/>
      <c r="G28" s="123">
        <f>(1-G27/G22-G26)*G23/G26</f>
        <v>34.902044278867635</v>
      </c>
      <c r="H28" s="339" t="s">
        <v>22</v>
      </c>
      <c r="M28" s="15"/>
      <c r="N28" s="16"/>
      <c r="O28" s="16"/>
      <c r="P28" s="78"/>
    </row>
    <row r="29" spans="1:16" ht="13.5" thickBot="1">
      <c r="A29" s="811" t="s">
        <v>381</v>
      </c>
      <c r="B29" s="812"/>
      <c r="C29" s="115">
        <f>C22+C24+(1/(1/C25+(1/(C26+C23))))</f>
        <v>153.46153846153845</v>
      </c>
      <c r="D29" s="58" t="s">
        <v>22</v>
      </c>
      <c r="E29" s="811" t="s">
        <v>369</v>
      </c>
      <c r="F29" s="812"/>
      <c r="G29" s="123">
        <f>G23*(G22-G27)/(G23-G22*G26)</f>
        <v>18.36349892450407</v>
      </c>
      <c r="H29" s="338" t="s">
        <v>22</v>
      </c>
      <c r="M29" s="796" t="s">
        <v>348</v>
      </c>
      <c r="N29" s="929"/>
      <c r="O29" s="145">
        <v>162</v>
      </c>
      <c r="P29" s="325" t="s">
        <v>76</v>
      </c>
    </row>
    <row r="30" spans="1:16" ht="13.5" thickBot="1">
      <c r="A30" s="811" t="s">
        <v>382</v>
      </c>
      <c r="B30" s="812"/>
      <c r="C30" s="115">
        <f>C21/C29</f>
        <v>0.013032581453634087</v>
      </c>
      <c r="D30" s="58" t="s">
        <v>34</v>
      </c>
      <c r="E30" s="170"/>
      <c r="F30" s="171"/>
      <c r="G30" s="131"/>
      <c r="H30" s="340"/>
      <c r="M30" s="15"/>
      <c r="N30" s="16"/>
      <c r="O30" s="16"/>
      <c r="P30" s="78"/>
    </row>
    <row r="31" spans="1:16" ht="12.75">
      <c r="A31" s="811" t="s">
        <v>370</v>
      </c>
      <c r="B31" s="812"/>
      <c r="C31" s="115">
        <f>C21*C34/(C22+C34)</f>
        <v>0.6967418546365916</v>
      </c>
      <c r="D31" s="58" t="s">
        <v>70</v>
      </c>
      <c r="E31" s="58"/>
      <c r="F31" s="58"/>
      <c r="G31" s="115"/>
      <c r="H31" s="339"/>
      <c r="I31" s="816" t="s">
        <v>474</v>
      </c>
      <c r="J31" s="817"/>
      <c r="K31" s="817"/>
      <c r="L31" s="818"/>
      <c r="M31" s="796" t="s">
        <v>698</v>
      </c>
      <c r="N31" s="929"/>
      <c r="O31" s="302" t="s">
        <v>697</v>
      </c>
      <c r="P31" s="252"/>
    </row>
    <row r="32" spans="1:16" ht="12.75">
      <c r="A32" s="811" t="s">
        <v>357</v>
      </c>
      <c r="B32" s="812"/>
      <c r="C32" s="115">
        <f>C31*((1/(1/C25+(1/(C26+C23))))/((1/(1/C25+(1/(C26+C23))))+C24))*(C23/(C26+C23))</f>
        <v>0.31328320802005016</v>
      </c>
      <c r="D32" s="58" t="s">
        <v>70</v>
      </c>
      <c r="E32" s="337" t="s">
        <v>191</v>
      </c>
      <c r="F32" s="581" t="s">
        <v>342</v>
      </c>
      <c r="G32" s="178">
        <f>G38*((1/(1/C25+(1/(C24+C22))))/((1/(1/C25+(1/(C24+C22))))+C26))*(C22/(C24+C22))</f>
        <v>1.2531328320802007</v>
      </c>
      <c r="H32" s="363" t="s">
        <v>3</v>
      </c>
      <c r="I32" s="388"/>
      <c r="J32" s="287"/>
      <c r="K32" s="287"/>
      <c r="L32" s="391"/>
      <c r="M32" s="840" t="s">
        <v>696</v>
      </c>
      <c r="N32" s="841"/>
      <c r="O32" s="841"/>
      <c r="P32" s="842"/>
    </row>
    <row r="33" spans="1:16" ht="12.75">
      <c r="A33" s="833" t="s">
        <v>363</v>
      </c>
      <c r="B33" s="834"/>
      <c r="C33" s="115">
        <f>IF(C27="NO",10*LOG((C31^2/C34)/(C32^2/C23)),10*LOG((1/C22)/(C32^2/C23)))</f>
        <v>3.641681222088002</v>
      </c>
      <c r="D33" s="57" t="s">
        <v>4</v>
      </c>
      <c r="E33" s="812" t="s">
        <v>363</v>
      </c>
      <c r="F33" s="812"/>
      <c r="G33" s="115">
        <f>IF(C27="NO",10*LOG((G38^2/G34)/(G32^2/C22)),10*LOG((1/C23)/(G32^2/C22)))</f>
        <v>1.6694307462900515</v>
      </c>
      <c r="H33" s="339" t="s">
        <v>4</v>
      </c>
      <c r="I33" s="388"/>
      <c r="J33" s="287"/>
      <c r="K33" s="287"/>
      <c r="L33" s="391"/>
      <c r="M33" s="798" t="s">
        <v>359</v>
      </c>
      <c r="N33" s="785"/>
      <c r="O33" s="785"/>
      <c r="P33" s="786"/>
    </row>
    <row r="34" spans="1:16" ht="12.75">
      <c r="A34" s="833" t="s">
        <v>383</v>
      </c>
      <c r="B34" s="834"/>
      <c r="C34" s="115">
        <f>C24+(1/(1/C25+(1/(C26+C23))))</f>
        <v>53.46153846153846</v>
      </c>
      <c r="D34" s="58" t="s">
        <v>22</v>
      </c>
      <c r="E34" s="812" t="s">
        <v>364</v>
      </c>
      <c r="F34" s="812"/>
      <c r="G34" s="115">
        <f>(1/((1/(C24+C22)+(1/C25))))+C26</f>
        <v>118.13901345291481</v>
      </c>
      <c r="H34" s="339" t="s">
        <v>22</v>
      </c>
      <c r="I34" s="388"/>
      <c r="J34" s="287"/>
      <c r="K34" s="287"/>
      <c r="L34" s="391"/>
      <c r="M34" s="15"/>
      <c r="N34" s="16"/>
      <c r="O34" s="16"/>
      <c r="P34" s="78"/>
    </row>
    <row r="35" spans="1:16" ht="12.75">
      <c r="A35" s="833" t="s">
        <v>385</v>
      </c>
      <c r="B35" s="834"/>
      <c r="C35" s="115">
        <f>(C34-C22)/(C34+C22)</f>
        <v>-0.30325814536340856</v>
      </c>
      <c r="D35" s="58"/>
      <c r="E35" s="834" t="s">
        <v>365</v>
      </c>
      <c r="F35" s="834"/>
      <c r="G35" s="115">
        <f>(G34-C23)/(G34+C23)</f>
        <v>0.6506892230576441</v>
      </c>
      <c r="H35" s="338"/>
      <c r="I35" s="388"/>
      <c r="J35" s="287"/>
      <c r="K35" s="287"/>
      <c r="L35" s="391"/>
      <c r="M35" s="840" t="s">
        <v>689</v>
      </c>
      <c r="N35" s="841"/>
      <c r="O35" s="841"/>
      <c r="P35" s="842"/>
    </row>
    <row r="36" spans="1:16" ht="12.75">
      <c r="A36" s="811" t="s">
        <v>326</v>
      </c>
      <c r="B36" s="812"/>
      <c r="C36" s="115">
        <f>IF(C35&gt;0,(1+C35)/(1-C35),(1-C35)/(1+C35))</f>
        <v>1.870503597122302</v>
      </c>
      <c r="D36" s="57"/>
      <c r="E36" s="812" t="s">
        <v>366</v>
      </c>
      <c r="F36" s="812"/>
      <c r="G36" s="115">
        <f>IF(G35&gt;0,(1+G35)/(1-G35),(1-G35)/(1+G35))</f>
        <v>4.725560538116592</v>
      </c>
      <c r="H36" s="338"/>
      <c r="I36" s="388"/>
      <c r="J36" s="287"/>
      <c r="K36" s="287"/>
      <c r="L36" s="391"/>
      <c r="M36" s="15"/>
      <c r="N36" s="16"/>
      <c r="O36" s="16"/>
      <c r="P36" s="78"/>
    </row>
    <row r="37" spans="1:16" ht="12.75">
      <c r="A37" s="811" t="s">
        <v>324</v>
      </c>
      <c r="B37" s="812"/>
      <c r="C37" s="115">
        <f>ROUND(20*LOG10(IF(C35&gt;0,C35,C35*-1)),2)*-1</f>
        <v>10.36</v>
      </c>
      <c r="D37" s="58" t="s">
        <v>4</v>
      </c>
      <c r="E37" s="812" t="s">
        <v>324</v>
      </c>
      <c r="F37" s="812"/>
      <c r="G37" s="115">
        <f>ROUND(20*LOG10(IF(G35&gt;0,G35,G35*-1)),2)*-1</f>
        <v>3.73</v>
      </c>
      <c r="H37" s="338" t="s">
        <v>4</v>
      </c>
      <c r="I37" s="388"/>
      <c r="J37" s="287"/>
      <c r="K37" s="287"/>
      <c r="L37" s="391"/>
      <c r="M37" s="542">
        <f>O4</f>
        <v>56.25</v>
      </c>
      <c r="N37" s="77" t="s">
        <v>355</v>
      </c>
      <c r="O37" s="258">
        <f>IF(O5&lt;0,-1/(2*PI()*O29*O5*10^-6),O5/(2*PI()*O29*10^-3))</f>
        <v>0</v>
      </c>
      <c r="P37" s="78" t="str">
        <f>IF(O5&gt;0,"nH","pF")</f>
        <v>pF</v>
      </c>
    </row>
    <row r="38" spans="1:16" ht="12.75">
      <c r="A38" s="60"/>
      <c r="B38" s="64"/>
      <c r="C38" s="55"/>
      <c r="D38" s="55"/>
      <c r="E38" s="916" t="s">
        <v>370</v>
      </c>
      <c r="F38" s="916"/>
      <c r="G38" s="178">
        <f>C21*G34/(C23+G34)</f>
        <v>1.6506892230576442</v>
      </c>
      <c r="H38" s="363" t="s">
        <v>3</v>
      </c>
      <c r="I38" s="388"/>
      <c r="J38" s="287"/>
      <c r="K38" s="287"/>
      <c r="L38" s="391"/>
      <c r="M38" s="15"/>
      <c r="N38" s="16"/>
      <c r="O38" s="16"/>
      <c r="P38" s="78"/>
    </row>
    <row r="39" spans="1:16" ht="13.5" thickBot="1">
      <c r="A39" s="62"/>
      <c r="B39" s="65"/>
      <c r="C39" s="73"/>
      <c r="D39" s="73"/>
      <c r="E39" s="63"/>
      <c r="F39" s="73"/>
      <c r="G39" s="131"/>
      <c r="H39" s="74"/>
      <c r="I39" s="392"/>
      <c r="J39" s="393"/>
      <c r="K39" s="393"/>
      <c r="L39" s="394"/>
      <c r="M39" s="798" t="s">
        <v>356</v>
      </c>
      <c r="N39" s="785"/>
      <c r="O39" s="785"/>
      <c r="P39" s="786"/>
    </row>
    <row r="40" spans="1:16" ht="12.75">
      <c r="A40" s="938" t="s">
        <v>47</v>
      </c>
      <c r="B40" s="939"/>
      <c r="C40" s="940"/>
      <c r="D40" s="938" t="s">
        <v>55</v>
      </c>
      <c r="E40" s="939"/>
      <c r="F40" s="939"/>
      <c r="G40" s="873" t="s">
        <v>147</v>
      </c>
      <c r="H40" s="850"/>
      <c r="I40" s="875"/>
      <c r="J40" s="899" t="s">
        <v>95</v>
      </c>
      <c r="K40" s="900"/>
      <c r="L40" s="901"/>
      <c r="M40" s="798"/>
      <c r="N40" s="785"/>
      <c r="O40" s="785"/>
      <c r="P40" s="786"/>
    </row>
    <row r="41" spans="1:16" ht="13.5" thickBot="1">
      <c r="A41" s="938"/>
      <c r="B41" s="939"/>
      <c r="C41" s="940"/>
      <c r="D41" s="938"/>
      <c r="E41" s="939"/>
      <c r="F41" s="939"/>
      <c r="G41" s="30"/>
      <c r="H41" s="31"/>
      <c r="I41" s="32"/>
      <c r="J41" s="86"/>
      <c r="K41" s="68"/>
      <c r="L41" s="96"/>
      <c r="M41" s="352" t="s">
        <v>691</v>
      </c>
      <c r="N41" s="541" t="s">
        <v>690</v>
      </c>
      <c r="O41" s="16"/>
      <c r="P41" s="78"/>
    </row>
    <row r="42" spans="1:16" ht="12.75">
      <c r="A42" s="46" t="s">
        <v>329</v>
      </c>
      <c r="B42" s="118">
        <v>0.2</v>
      </c>
      <c r="C42" s="300" t="s">
        <v>48</v>
      </c>
      <c r="D42" s="320" t="s">
        <v>347</v>
      </c>
      <c r="E42" s="118">
        <v>470</v>
      </c>
      <c r="F42" s="324" t="s">
        <v>48</v>
      </c>
      <c r="G42" s="321" t="s">
        <v>371</v>
      </c>
      <c r="H42" s="118">
        <v>50</v>
      </c>
      <c r="I42" s="32" t="s">
        <v>22</v>
      </c>
      <c r="J42" s="179" t="s">
        <v>349</v>
      </c>
      <c r="K42" s="152">
        <v>50</v>
      </c>
      <c r="L42" s="96" t="s">
        <v>91</v>
      </c>
      <c r="M42" s="15"/>
      <c r="N42" s="77" t="s">
        <v>692</v>
      </c>
      <c r="O42" s="16"/>
      <c r="P42" s="78"/>
    </row>
    <row r="43" spans="1:16" ht="13.5" thickBot="1">
      <c r="A43" s="320" t="s">
        <v>330</v>
      </c>
      <c r="B43" s="141">
        <v>-6</v>
      </c>
      <c r="C43" s="300"/>
      <c r="D43" s="320" t="s">
        <v>330</v>
      </c>
      <c r="E43" s="141">
        <v>-6</v>
      </c>
      <c r="F43" s="324"/>
      <c r="G43" s="33" t="s">
        <v>386</v>
      </c>
      <c r="H43" s="119">
        <v>16.666</v>
      </c>
      <c r="I43" s="32" t="s">
        <v>22</v>
      </c>
      <c r="J43" s="179" t="s">
        <v>351</v>
      </c>
      <c r="K43" s="153">
        <v>1500</v>
      </c>
      <c r="L43" s="96" t="s">
        <v>91</v>
      </c>
      <c r="M43" s="15"/>
      <c r="N43" s="77"/>
      <c r="O43" s="16"/>
      <c r="P43" s="78"/>
    </row>
    <row r="44" spans="1:16" ht="13.5" thickBot="1">
      <c r="A44" s="320" t="s">
        <v>348</v>
      </c>
      <c r="B44" s="119">
        <v>15000</v>
      </c>
      <c r="C44" s="300" t="s">
        <v>50</v>
      </c>
      <c r="D44" s="320" t="s">
        <v>348</v>
      </c>
      <c r="E44" s="119">
        <v>1000</v>
      </c>
      <c r="F44" s="324" t="s">
        <v>50</v>
      </c>
      <c r="G44" s="33"/>
      <c r="H44" s="34"/>
      <c r="I44" s="32"/>
      <c r="J44" s="179" t="s">
        <v>350</v>
      </c>
      <c r="K44" s="154">
        <v>21.4</v>
      </c>
      <c r="L44" s="96" t="s">
        <v>76</v>
      </c>
      <c r="M44" s="352" t="s">
        <v>693</v>
      </c>
      <c r="N44" s="541" t="s">
        <v>690</v>
      </c>
      <c r="O44" s="16"/>
      <c r="P44" s="78"/>
    </row>
    <row r="45" spans="1:16" ht="12.75">
      <c r="A45" s="46"/>
      <c r="B45" s="44"/>
      <c r="C45" s="45"/>
      <c r="D45" s="46"/>
      <c r="E45" s="44"/>
      <c r="F45" s="44"/>
      <c r="G45" s="876" t="s">
        <v>321</v>
      </c>
      <c r="H45" s="848"/>
      <c r="I45" s="849"/>
      <c r="J45" s="86"/>
      <c r="K45" s="68"/>
      <c r="L45" s="96"/>
      <c r="M45" s="15"/>
      <c r="N45" s="77" t="s">
        <v>694</v>
      </c>
      <c r="O45" s="16"/>
      <c r="P45" s="78"/>
    </row>
    <row r="46" spans="1:16" ht="12.75">
      <c r="A46" s="936" t="s">
        <v>49</v>
      </c>
      <c r="B46" s="937"/>
      <c r="C46" s="941"/>
      <c r="D46" s="936" t="s">
        <v>346</v>
      </c>
      <c r="E46" s="937"/>
      <c r="F46" s="937"/>
      <c r="G46" s="33"/>
      <c r="H46" s="34"/>
      <c r="I46" s="32"/>
      <c r="J46" s="180" t="s">
        <v>94</v>
      </c>
      <c r="K46" s="113">
        <f>ROUND(SQRT(K42*K43)/(2*PI()*K44*1000000)/0.000000001,1)</f>
        <v>2036.7</v>
      </c>
      <c r="L46" s="96" t="s">
        <v>92</v>
      </c>
      <c r="M46" s="15"/>
      <c r="N46" s="323" t="s">
        <v>693</v>
      </c>
      <c r="O46" s="80" t="e">
        <f>(M37^2+O5^2)/O5</f>
        <v>#DIV/0!</v>
      </c>
      <c r="P46" s="78" t="s">
        <v>22</v>
      </c>
    </row>
    <row r="47" spans="1:16" ht="12.75">
      <c r="A47" s="46"/>
      <c r="B47" s="44"/>
      <c r="C47" s="45"/>
      <c r="D47" s="46"/>
      <c r="E47" s="44"/>
      <c r="F47" s="44"/>
      <c r="G47" s="321" t="s">
        <v>322</v>
      </c>
      <c r="H47" s="76">
        <f>((H43+H42)/2)+H43</f>
        <v>49.998999999999995</v>
      </c>
      <c r="I47" s="32" t="s">
        <v>22</v>
      </c>
      <c r="J47" s="86"/>
      <c r="K47" s="113">
        <f>ROUND(1/(2*PI()*K44*1000000*SQRT(K42*K43))*1000000000000,1)</f>
        <v>27.2</v>
      </c>
      <c r="L47" s="96" t="s">
        <v>93</v>
      </c>
      <c r="M47" s="15"/>
      <c r="N47" s="16"/>
      <c r="O47" s="16"/>
      <c r="P47" s="78"/>
    </row>
    <row r="48" spans="1:16" ht="12.75">
      <c r="A48" s="320" t="s">
        <v>51</v>
      </c>
      <c r="B48" s="72">
        <f>-1/(2*PI()*B44*B42*10^B43)</f>
        <v>-53.05164769729845</v>
      </c>
      <c r="C48" s="300" t="s">
        <v>22</v>
      </c>
      <c r="D48" s="320" t="s">
        <v>148</v>
      </c>
      <c r="E48" s="72">
        <f>2*PI()*E44*E42*10^E43</f>
        <v>2.9530970943744053</v>
      </c>
      <c r="F48" s="324" t="s">
        <v>22</v>
      </c>
      <c r="G48" s="30"/>
      <c r="H48" s="31"/>
      <c r="I48" s="345"/>
      <c r="J48" s="86"/>
      <c r="K48" s="68"/>
      <c r="L48" s="96"/>
      <c r="M48" s="542">
        <f>(M37^2+O5^2)/M37</f>
        <v>56.25</v>
      </c>
      <c r="N48" s="77" t="s">
        <v>355</v>
      </c>
      <c r="O48" s="258" t="e">
        <f>IF(O46&lt;0,-1/(2*PI()*O29*O46*10^-6),O46/(2*PI()*O29*10^-3))</f>
        <v>#DIV/0!</v>
      </c>
      <c r="P48" s="78" t="str">
        <f>IF(O5&gt;0,"nH","pF")</f>
        <v>pF</v>
      </c>
    </row>
    <row r="49" spans="1:16" ht="13.5" thickBot="1">
      <c r="A49" s="46"/>
      <c r="B49" s="44"/>
      <c r="C49" s="45"/>
      <c r="D49" s="46"/>
      <c r="E49" s="44"/>
      <c r="F49" s="44"/>
      <c r="G49" s="36"/>
      <c r="H49" s="37"/>
      <c r="I49" s="346"/>
      <c r="J49" s="103"/>
      <c r="K49" s="69"/>
      <c r="L49" s="104"/>
      <c r="M49" s="313"/>
      <c r="N49" s="328"/>
      <c r="O49" s="329"/>
      <c r="P49" s="134"/>
    </row>
    <row r="50" spans="1:12" ht="12.75">
      <c r="A50" s="921" t="s">
        <v>246</v>
      </c>
      <c r="B50" s="922"/>
      <c r="C50" s="922"/>
      <c r="D50" s="922"/>
      <c r="E50" s="922"/>
      <c r="F50" s="923"/>
      <c r="G50" s="921" t="s">
        <v>245</v>
      </c>
      <c r="H50" s="922"/>
      <c r="I50" s="922"/>
      <c r="J50" s="922"/>
      <c r="K50" s="922"/>
      <c r="L50" s="923"/>
    </row>
    <row r="51" spans="1:15" ht="12.75">
      <c r="A51" s="913"/>
      <c r="B51" s="914"/>
      <c r="C51" s="914"/>
      <c r="D51" s="204"/>
      <c r="E51" s="204"/>
      <c r="F51" s="343"/>
      <c r="G51" s="913"/>
      <c r="H51" s="914"/>
      <c r="I51" s="914"/>
      <c r="J51" s="203"/>
      <c r="K51" s="43"/>
      <c r="L51" s="108"/>
      <c r="M51" s="79"/>
      <c r="N51" s="79"/>
      <c r="O51" s="79"/>
    </row>
    <row r="52" spans="1:15" ht="13.5" thickBot="1">
      <c r="A52" s="46"/>
      <c r="B52" s="44"/>
      <c r="C52" s="44"/>
      <c r="D52" s="44"/>
      <c r="E52" s="47"/>
      <c r="F52" s="45"/>
      <c r="G52" s="46"/>
      <c r="H52" s="44"/>
      <c r="I52" s="44"/>
      <c r="J52" s="203"/>
      <c r="K52" s="43"/>
      <c r="L52" s="108"/>
      <c r="M52" s="79"/>
      <c r="N52" s="79"/>
      <c r="O52" s="79"/>
    </row>
    <row r="53" spans="1:15" ht="12.75">
      <c r="A53" s="42"/>
      <c r="B53" s="326" t="s">
        <v>329</v>
      </c>
      <c r="C53" s="544">
        <v>750</v>
      </c>
      <c r="D53" s="324" t="s">
        <v>763</v>
      </c>
      <c r="E53" s="43"/>
      <c r="F53" s="108"/>
      <c r="G53" s="42"/>
      <c r="H53" s="326" t="s">
        <v>329</v>
      </c>
      <c r="I53" s="544">
        <v>750</v>
      </c>
      <c r="J53" s="324" t="s">
        <v>763</v>
      </c>
      <c r="K53" s="43"/>
      <c r="L53" s="300"/>
      <c r="M53" s="79"/>
      <c r="N53" s="216"/>
      <c r="O53" s="216"/>
    </row>
    <row r="54" spans="1:15" ht="12.75">
      <c r="A54" s="42"/>
      <c r="B54" s="326" t="s">
        <v>330</v>
      </c>
      <c r="C54" s="141">
        <v>-15</v>
      </c>
      <c r="D54" s="324"/>
      <c r="E54" s="43"/>
      <c r="F54" s="108"/>
      <c r="G54" s="42"/>
      <c r="H54" s="326" t="s">
        <v>330</v>
      </c>
      <c r="I54" s="141">
        <v>-15</v>
      </c>
      <c r="J54" s="353"/>
      <c r="K54" s="43"/>
      <c r="L54" s="300"/>
      <c r="M54" s="79"/>
      <c r="N54" s="216"/>
      <c r="O54" s="216"/>
    </row>
    <row r="55" spans="1:13" ht="12.75">
      <c r="A55" s="42"/>
      <c r="B55" s="332" t="s">
        <v>387</v>
      </c>
      <c r="C55" s="543">
        <v>3300000</v>
      </c>
      <c r="D55" s="364" t="s">
        <v>764</v>
      </c>
      <c r="E55" s="43"/>
      <c r="F55" s="108"/>
      <c r="G55" s="42"/>
      <c r="H55" s="332" t="s">
        <v>387</v>
      </c>
      <c r="I55" s="543">
        <v>3300000</v>
      </c>
      <c r="J55" s="364" t="s">
        <v>764</v>
      </c>
      <c r="K55" s="43"/>
      <c r="L55" s="301"/>
      <c r="M55" s="79"/>
    </row>
    <row r="56" spans="1:12" ht="13.5" thickBot="1">
      <c r="A56" s="42"/>
      <c r="B56" s="326" t="s">
        <v>348</v>
      </c>
      <c r="C56" s="119">
        <v>150285000</v>
      </c>
      <c r="D56" s="324" t="s">
        <v>50</v>
      </c>
      <c r="E56" s="43"/>
      <c r="F56" s="108"/>
      <c r="G56" s="42"/>
      <c r="H56" s="326" t="s">
        <v>348</v>
      </c>
      <c r="I56" s="119">
        <v>150285000</v>
      </c>
      <c r="J56" s="353" t="s">
        <v>50</v>
      </c>
      <c r="K56" s="43"/>
      <c r="L56" s="300"/>
    </row>
    <row r="57" spans="1:12" ht="12.75">
      <c r="A57" s="42"/>
      <c r="B57" s="44"/>
      <c r="C57" s="331"/>
      <c r="D57" s="47"/>
      <c r="E57" s="43"/>
      <c r="F57" s="108"/>
      <c r="G57" s="42"/>
      <c r="H57" s="326"/>
      <c r="I57" s="331"/>
      <c r="J57" s="47"/>
      <c r="K57" s="43"/>
      <c r="L57" s="300"/>
    </row>
    <row r="58" spans="1:15" ht="12.75">
      <c r="A58" s="42"/>
      <c r="B58" s="44" t="s">
        <v>695</v>
      </c>
      <c r="C58" s="331"/>
      <c r="D58" s="44" t="s">
        <v>668</v>
      </c>
      <c r="E58" s="43"/>
      <c r="F58" s="108"/>
      <c r="G58" s="42"/>
      <c r="H58" s="44" t="s">
        <v>695</v>
      </c>
      <c r="I58" s="331"/>
      <c r="J58" s="44" t="s">
        <v>391</v>
      </c>
      <c r="K58" s="347"/>
      <c r="L58" s="348"/>
      <c r="O58" s="210"/>
    </row>
    <row r="59" spans="1:12" ht="12.75">
      <c r="A59" s="46"/>
      <c r="B59" s="44"/>
      <c r="C59" s="43"/>
      <c r="D59" s="47"/>
      <c r="E59" s="43"/>
      <c r="F59" s="108"/>
      <c r="G59" s="46"/>
      <c r="H59" s="44"/>
      <c r="I59" s="44"/>
      <c r="J59" s="43"/>
      <c r="K59" s="43"/>
      <c r="L59" s="48"/>
    </row>
    <row r="60" spans="1:13" ht="12.75">
      <c r="A60" s="320" t="s">
        <v>51</v>
      </c>
      <c r="B60" s="72">
        <f>-1/(2*PI()*C56*C53*10^C54)</f>
        <v>-1412.0277525314818</v>
      </c>
      <c r="C60" s="43"/>
      <c r="D60" s="43"/>
      <c r="E60" s="43"/>
      <c r="F60" s="48" t="s">
        <v>22</v>
      </c>
      <c r="G60" s="320" t="s">
        <v>51</v>
      </c>
      <c r="H60" s="159">
        <f>-1/(2*PI()*I56*I53*10^I54)</f>
        <v>-1412.0277525314818</v>
      </c>
      <c r="I60" s="331" t="s">
        <v>400</v>
      </c>
      <c r="J60" s="159" t="str">
        <f>COMPLEX(0,H60,"j")</f>
        <v>-1412.02775253148j</v>
      </c>
      <c r="K60" s="43"/>
      <c r="L60" s="300" t="s">
        <v>22</v>
      </c>
      <c r="M60" s="216"/>
    </row>
    <row r="61" spans="1:13" ht="12.75">
      <c r="A61" s="320" t="s">
        <v>682</v>
      </c>
      <c r="B61" s="920" t="str">
        <f>COMPLEX(C55,B60,"j")</f>
        <v>3300000-1412.02775253148j</v>
      </c>
      <c r="C61" s="920"/>
      <c r="D61" s="920"/>
      <c r="E61" s="920"/>
      <c r="F61" s="48" t="s">
        <v>22</v>
      </c>
      <c r="G61" s="320" t="s">
        <v>682</v>
      </c>
      <c r="H61" s="920" t="str">
        <f>IMDIV(IMPRODUCT(I55,COMPLEX(0,H60,"j")),IMSUM(I55,COMPLEX(0,H60,"j")))</f>
        <v>0.604188487537971-1412.02749400696j</v>
      </c>
      <c r="I61" s="920"/>
      <c r="J61" s="920"/>
      <c r="K61" s="43"/>
      <c r="L61" s="300" t="s">
        <v>22</v>
      </c>
      <c r="M61" s="216"/>
    </row>
    <row r="62" spans="1:13" ht="12.75">
      <c r="A62" s="320" t="s">
        <v>683</v>
      </c>
      <c r="B62" s="159">
        <f>IMABS(B61)</f>
        <v>3300000.3020942854</v>
      </c>
      <c r="C62" s="43"/>
      <c r="D62" s="43"/>
      <c r="E62" s="43"/>
      <c r="F62" s="48" t="s">
        <v>22</v>
      </c>
      <c r="G62" s="320" t="s">
        <v>683</v>
      </c>
      <c r="H62" s="545">
        <f>IMABS(H61)</f>
        <v>1412.0276232692136</v>
      </c>
      <c r="I62" s="159"/>
      <c r="J62" s="159"/>
      <c r="K62" s="43"/>
      <c r="L62" s="300" t="s">
        <v>22</v>
      </c>
      <c r="M62" s="216"/>
    </row>
    <row r="63" spans="1:13" ht="13.5" thickBot="1">
      <c r="A63" s="52"/>
      <c r="B63" s="50"/>
      <c r="C63" s="50"/>
      <c r="D63" s="205"/>
      <c r="E63" s="205"/>
      <c r="F63" s="51"/>
      <c r="G63" s="207"/>
      <c r="H63" s="50"/>
      <c r="I63" s="50"/>
      <c r="J63" s="50"/>
      <c r="K63" s="205"/>
      <c r="L63" s="206"/>
      <c r="M63" s="216"/>
    </row>
    <row r="64" spans="1:13" ht="12.75">
      <c r="A64" s="921" t="s">
        <v>752</v>
      </c>
      <c r="B64" s="922"/>
      <c r="C64" s="922"/>
      <c r="D64" s="922"/>
      <c r="E64" s="922"/>
      <c r="F64" s="923"/>
      <c r="G64" s="921" t="s">
        <v>753</v>
      </c>
      <c r="H64" s="922"/>
      <c r="I64" s="922"/>
      <c r="J64" s="922"/>
      <c r="K64" s="922"/>
      <c r="L64" s="923"/>
      <c r="M64" s="216"/>
    </row>
    <row r="65" spans="1:13" ht="12.75">
      <c r="A65" s="913"/>
      <c r="B65" s="914"/>
      <c r="C65" s="914"/>
      <c r="D65" s="204"/>
      <c r="E65" s="204"/>
      <c r="F65" s="343"/>
      <c r="G65" s="913"/>
      <c r="H65" s="914"/>
      <c r="I65" s="914"/>
      <c r="J65" s="203"/>
      <c r="K65" s="43"/>
      <c r="L65" s="108"/>
      <c r="M65" s="216"/>
    </row>
    <row r="66" spans="1:13" ht="13.5" thickBot="1">
      <c r="A66" s="46"/>
      <c r="B66" s="44"/>
      <c r="C66" s="44"/>
      <c r="D66" s="44"/>
      <c r="E66" s="47"/>
      <c r="F66" s="45"/>
      <c r="G66" s="46"/>
      <c r="H66" s="44"/>
      <c r="I66" s="44"/>
      <c r="J66" s="203"/>
      <c r="K66" s="43"/>
      <c r="L66" s="108"/>
      <c r="M66" s="216"/>
    </row>
    <row r="67" spans="1:13" ht="12.75">
      <c r="A67" s="42"/>
      <c r="B67" s="326" t="s">
        <v>453</v>
      </c>
      <c r="C67" s="118">
        <v>820</v>
      </c>
      <c r="D67" s="324" t="s">
        <v>48</v>
      </c>
      <c r="E67" s="43"/>
      <c r="F67" s="108"/>
      <c r="G67" s="42"/>
      <c r="H67" s="326" t="s">
        <v>453</v>
      </c>
      <c r="I67" s="544">
        <v>470</v>
      </c>
      <c r="J67" s="353" t="s">
        <v>48</v>
      </c>
      <c r="K67" s="43"/>
      <c r="L67" s="300"/>
      <c r="M67" s="216"/>
    </row>
    <row r="68" spans="1:13" ht="12.75">
      <c r="A68" s="42"/>
      <c r="B68" s="326" t="s">
        <v>330</v>
      </c>
      <c r="C68" s="141">
        <v>-3</v>
      </c>
      <c r="D68" s="324"/>
      <c r="E68" s="43"/>
      <c r="F68" s="108"/>
      <c r="G68" s="42"/>
      <c r="H68" s="326" t="s">
        <v>330</v>
      </c>
      <c r="I68" s="141">
        <v>-9</v>
      </c>
      <c r="J68" s="353"/>
      <c r="K68" s="43"/>
      <c r="L68" s="300"/>
      <c r="M68" s="216"/>
    </row>
    <row r="69" spans="1:13" ht="12.75">
      <c r="A69" s="42"/>
      <c r="B69" s="332" t="s">
        <v>387</v>
      </c>
      <c r="C69" s="141">
        <v>22</v>
      </c>
      <c r="D69" s="364" t="s">
        <v>764</v>
      </c>
      <c r="E69" s="43"/>
      <c r="F69" s="108"/>
      <c r="G69" s="42"/>
      <c r="H69" s="332" t="s">
        <v>387</v>
      </c>
      <c r="I69" s="543">
        <v>1000</v>
      </c>
      <c r="J69" s="364" t="s">
        <v>764</v>
      </c>
      <c r="K69" s="43"/>
      <c r="L69" s="301"/>
      <c r="M69" s="216"/>
    </row>
    <row r="70" spans="1:13" ht="13.5" thickBot="1">
      <c r="A70" s="42"/>
      <c r="B70" s="326" t="s">
        <v>348</v>
      </c>
      <c r="C70" s="119">
        <v>10</v>
      </c>
      <c r="D70" s="324" t="s">
        <v>50</v>
      </c>
      <c r="E70" s="43"/>
      <c r="F70" s="108"/>
      <c r="G70" s="42"/>
      <c r="H70" s="326" t="s">
        <v>348</v>
      </c>
      <c r="I70" s="119">
        <v>2000000</v>
      </c>
      <c r="J70" s="353" t="s">
        <v>50</v>
      </c>
      <c r="K70" s="43"/>
      <c r="L70" s="300"/>
      <c r="M70" s="216"/>
    </row>
    <row r="71" spans="1:13" ht="12.75">
      <c r="A71" s="42"/>
      <c r="B71" s="44"/>
      <c r="C71" s="331"/>
      <c r="D71" s="47"/>
      <c r="E71" s="43"/>
      <c r="F71" s="108"/>
      <c r="G71" s="42"/>
      <c r="H71" s="326"/>
      <c r="I71" s="331"/>
      <c r="J71" s="47"/>
      <c r="K71" s="43"/>
      <c r="L71" s="300"/>
      <c r="M71" s="216"/>
    </row>
    <row r="72" spans="1:13" ht="12.75">
      <c r="A72" s="42"/>
      <c r="B72" s="44" t="s">
        <v>761</v>
      </c>
      <c r="C72" s="331"/>
      <c r="D72" s="44" t="s">
        <v>759</v>
      </c>
      <c r="E72" s="43"/>
      <c r="F72" s="108"/>
      <c r="G72" s="44" t="s">
        <v>761</v>
      </c>
      <c r="H72" s="44" t="s">
        <v>769</v>
      </c>
      <c r="I72" s="44"/>
      <c r="J72" s="44"/>
      <c r="K72" s="347"/>
      <c r="L72" s="348"/>
      <c r="M72" s="216"/>
    </row>
    <row r="73" spans="1:13" ht="12.75">
      <c r="A73" s="46"/>
      <c r="B73" s="44"/>
      <c r="C73" s="43"/>
      <c r="D73" s="47"/>
      <c r="E73" s="43"/>
      <c r="F73" s="108"/>
      <c r="G73" s="46"/>
      <c r="H73" s="44"/>
      <c r="I73" s="44"/>
      <c r="J73" s="43"/>
      <c r="K73" s="43"/>
      <c r="L73" s="48"/>
      <c r="M73" s="216"/>
    </row>
    <row r="74" spans="1:13" ht="12.75">
      <c r="A74" s="320" t="s">
        <v>760</v>
      </c>
      <c r="B74" s="72">
        <f>2*PI()*C70*C67*10^C68</f>
        <v>51.52211951887261</v>
      </c>
      <c r="C74" s="43"/>
      <c r="D74" s="43"/>
      <c r="E74" s="43"/>
      <c r="F74" s="48" t="s">
        <v>22</v>
      </c>
      <c r="G74" s="320" t="s">
        <v>760</v>
      </c>
      <c r="H74" s="159">
        <f>2*PI()*I70*I67*10^I68</f>
        <v>5.906194188748811</v>
      </c>
      <c r="I74" s="331" t="s">
        <v>400</v>
      </c>
      <c r="J74" s="159" t="str">
        <f>COMPLEX(0,H74,"j")</f>
        <v>5.90619418874881j</v>
      </c>
      <c r="K74" s="43"/>
      <c r="L74" s="300" t="s">
        <v>22</v>
      </c>
      <c r="M74" s="216"/>
    </row>
    <row r="75" spans="1:13" ht="12.75">
      <c r="A75" s="320" t="s">
        <v>682</v>
      </c>
      <c r="B75" s="920" t="str">
        <f>COMPLEX(C69,B74,"j")</f>
        <v>22+51.5221195188726j</v>
      </c>
      <c r="C75" s="920"/>
      <c r="D75" s="920"/>
      <c r="E75" s="920"/>
      <c r="F75" s="48" t="s">
        <v>22</v>
      </c>
      <c r="G75" s="320" t="s">
        <v>682</v>
      </c>
      <c r="H75" s="920" t="str">
        <f>IMDIV(IMPRODUCT(I69,COMPLEX(0,H74,"j")),IMSUM(I69,COMPLEX(0,H74,"j")))</f>
        <v>3.48819130049114E-002+5.90598816939693j</v>
      </c>
      <c r="I75" s="920"/>
      <c r="J75" s="920"/>
      <c r="K75" s="43"/>
      <c r="L75" s="300" t="s">
        <v>22</v>
      </c>
      <c r="M75" s="216"/>
    </row>
    <row r="76" spans="1:13" ht="12.75">
      <c r="A76" s="320" t="s">
        <v>683</v>
      </c>
      <c r="B76" s="159">
        <f>IMABS(B75)</f>
        <v>56.02257401902373</v>
      </c>
      <c r="C76" s="43"/>
      <c r="D76" s="43"/>
      <c r="E76" s="43"/>
      <c r="F76" s="48" t="s">
        <v>22</v>
      </c>
      <c r="G76" s="320" t="s">
        <v>683</v>
      </c>
      <c r="H76" s="545">
        <f>IMABS(H75)</f>
        <v>5.906091178174562</v>
      </c>
      <c r="I76" s="159"/>
      <c r="J76" s="159"/>
      <c r="K76" s="43"/>
      <c r="L76" s="300" t="s">
        <v>22</v>
      </c>
      <c r="M76" s="216"/>
    </row>
    <row r="77" spans="1:13" ht="13.5" thickBot="1">
      <c r="A77" s="52"/>
      <c r="B77" s="50"/>
      <c r="C77" s="50"/>
      <c r="D77" s="205"/>
      <c r="E77" s="205"/>
      <c r="F77" s="51"/>
      <c r="G77" s="207"/>
      <c r="H77" s="50"/>
      <c r="I77" s="50"/>
      <c r="J77" s="50"/>
      <c r="K77" s="205"/>
      <c r="L77" s="206"/>
      <c r="M77" s="216"/>
    </row>
    <row r="78" spans="1:13" ht="12.75">
      <c r="A78" s="921" t="s">
        <v>776</v>
      </c>
      <c r="B78" s="922"/>
      <c r="C78" s="922"/>
      <c r="D78" s="922"/>
      <c r="E78" s="922"/>
      <c r="F78" s="923"/>
      <c r="G78" s="921" t="s">
        <v>777</v>
      </c>
      <c r="H78" s="922"/>
      <c r="I78" s="922"/>
      <c r="J78" s="922"/>
      <c r="K78" s="922"/>
      <c r="L78" s="923"/>
      <c r="M78" s="216"/>
    </row>
    <row r="79" spans="1:13" ht="12.75">
      <c r="A79" s="913"/>
      <c r="B79" s="914"/>
      <c r="C79" s="914"/>
      <c r="D79" s="204"/>
      <c r="E79" s="204"/>
      <c r="F79" s="343"/>
      <c r="G79" s="913"/>
      <c r="H79" s="914"/>
      <c r="I79" s="914"/>
      <c r="J79" s="203"/>
      <c r="K79" s="43"/>
      <c r="L79" s="108"/>
      <c r="M79" s="216"/>
    </row>
    <row r="80" spans="1:13" ht="13.5" thickBot="1">
      <c r="A80" s="46"/>
      <c r="B80" s="44"/>
      <c r="C80" s="44"/>
      <c r="D80" s="44"/>
      <c r="E80" s="47"/>
      <c r="F80" s="45"/>
      <c r="G80" s="46"/>
      <c r="H80" s="44"/>
      <c r="I80" s="44"/>
      <c r="J80" s="203"/>
      <c r="K80" s="43"/>
      <c r="L80" s="108"/>
      <c r="M80" s="216"/>
    </row>
    <row r="81" spans="1:13" ht="12.75">
      <c r="A81" s="42"/>
      <c r="B81" s="326" t="s">
        <v>329</v>
      </c>
      <c r="C81" s="544">
        <v>820</v>
      </c>
      <c r="D81" s="324" t="s">
        <v>763</v>
      </c>
      <c r="E81" s="43"/>
      <c r="F81" s="108"/>
      <c r="G81" s="42"/>
      <c r="H81" s="326" t="s">
        <v>758</v>
      </c>
      <c r="I81" s="544">
        <v>220</v>
      </c>
      <c r="J81" s="324" t="s">
        <v>763</v>
      </c>
      <c r="K81" s="43"/>
      <c r="L81" s="300"/>
      <c r="M81" s="216"/>
    </row>
    <row r="82" spans="1:13" ht="12.75">
      <c r="A82" s="42"/>
      <c r="B82" s="326" t="s">
        <v>330</v>
      </c>
      <c r="C82" s="141">
        <v>-6</v>
      </c>
      <c r="D82" s="324"/>
      <c r="E82" s="43"/>
      <c r="F82" s="108"/>
      <c r="G82" s="42"/>
      <c r="H82" s="326" t="s">
        <v>330</v>
      </c>
      <c r="I82" s="141">
        <v>-12</v>
      </c>
      <c r="J82" s="353"/>
      <c r="K82" s="43"/>
      <c r="L82" s="300"/>
      <c r="M82" s="216"/>
    </row>
    <row r="83" spans="1:13" ht="12.75">
      <c r="A83" s="42"/>
      <c r="B83" s="326" t="s">
        <v>453</v>
      </c>
      <c r="C83" s="543">
        <v>820</v>
      </c>
      <c r="D83" s="364" t="s">
        <v>765</v>
      </c>
      <c r="E83" s="43"/>
      <c r="F83" s="108"/>
      <c r="G83" s="42"/>
      <c r="H83" s="326" t="s">
        <v>453</v>
      </c>
      <c r="I83" s="543">
        <v>220</v>
      </c>
      <c r="J83" s="364" t="s">
        <v>765</v>
      </c>
      <c r="K83" s="43"/>
      <c r="L83" s="301"/>
      <c r="M83" s="216"/>
    </row>
    <row r="84" spans="1:13" ht="12.75">
      <c r="A84" s="42"/>
      <c r="B84" s="326" t="s">
        <v>330</v>
      </c>
      <c r="C84" s="141">
        <v>-3</v>
      </c>
      <c r="D84" s="364"/>
      <c r="E84" s="43"/>
      <c r="F84" s="108"/>
      <c r="G84" s="42"/>
      <c r="H84" s="326" t="s">
        <v>330</v>
      </c>
      <c r="I84" s="141">
        <v>-6</v>
      </c>
      <c r="J84" s="365"/>
      <c r="K84" s="43"/>
      <c r="L84" s="301"/>
      <c r="M84" s="216"/>
    </row>
    <row r="85" spans="1:13" ht="13.5" thickBot="1">
      <c r="A85" s="42"/>
      <c r="B85" s="326" t="s">
        <v>348</v>
      </c>
      <c r="C85" s="119">
        <v>1000</v>
      </c>
      <c r="D85" s="324" t="s">
        <v>50</v>
      </c>
      <c r="E85" s="43"/>
      <c r="F85" s="108"/>
      <c r="G85" s="42"/>
      <c r="H85" s="326" t="s">
        <v>348</v>
      </c>
      <c r="I85" s="119">
        <v>2000000</v>
      </c>
      <c r="J85" s="353" t="s">
        <v>50</v>
      </c>
      <c r="K85" s="43"/>
      <c r="L85" s="300"/>
      <c r="M85" s="216"/>
    </row>
    <row r="86" spans="1:13" ht="12.75">
      <c r="A86" s="42"/>
      <c r="B86" s="44"/>
      <c r="C86" s="331"/>
      <c r="D86" s="47"/>
      <c r="E86" s="43"/>
      <c r="F86" s="108"/>
      <c r="G86" s="42"/>
      <c r="H86" s="326"/>
      <c r="I86" s="331"/>
      <c r="J86" s="47"/>
      <c r="K86" s="43"/>
      <c r="L86" s="300"/>
      <c r="M86" s="216"/>
    </row>
    <row r="87" spans="1:13" ht="12.75">
      <c r="A87" s="44" t="s">
        <v>762</v>
      </c>
      <c r="B87" s="44" t="s">
        <v>761</v>
      </c>
      <c r="C87" s="331"/>
      <c r="D87" s="44" t="s">
        <v>775</v>
      </c>
      <c r="E87" s="43"/>
      <c r="F87" s="108"/>
      <c r="G87" s="44" t="s">
        <v>754</v>
      </c>
      <c r="H87" s="44" t="s">
        <v>761</v>
      </c>
      <c r="I87" s="937" t="s">
        <v>774</v>
      </c>
      <c r="J87" s="937"/>
      <c r="K87" s="347"/>
      <c r="L87" s="348"/>
      <c r="M87" s="216"/>
    </row>
    <row r="88" spans="1:13" ht="12.75">
      <c r="A88" s="46"/>
      <c r="B88" s="44"/>
      <c r="C88" s="43"/>
      <c r="D88" s="47"/>
      <c r="E88" s="43"/>
      <c r="F88" s="108"/>
      <c r="G88" s="46"/>
      <c r="H88" s="44"/>
      <c r="I88" s="44"/>
      <c r="J88" s="43"/>
      <c r="K88" s="43"/>
      <c r="L88" s="48"/>
      <c r="M88" s="216"/>
    </row>
    <row r="89" spans="1:13" ht="12.75">
      <c r="A89" s="320" t="s">
        <v>51</v>
      </c>
      <c r="B89" s="72">
        <f>-1/(2*PI()*C85*C81*10^C82)</f>
        <v>-0.19409139401450654</v>
      </c>
      <c r="C89" s="43"/>
      <c r="D89" s="43"/>
      <c r="E89" s="43"/>
      <c r="F89" s="48" t="s">
        <v>22</v>
      </c>
      <c r="G89" s="320" t="s">
        <v>51</v>
      </c>
      <c r="H89" s="72">
        <f>-1/(2*PI()*I85*I81*10^I82)</f>
        <v>-361.71577975430756</v>
      </c>
      <c r="I89" s="331"/>
      <c r="J89" s="159"/>
      <c r="K89" s="43"/>
      <c r="L89" s="300" t="s">
        <v>22</v>
      </c>
      <c r="M89" s="216"/>
    </row>
    <row r="90" spans="1:13" ht="12.75">
      <c r="A90" s="320" t="s">
        <v>760</v>
      </c>
      <c r="B90" s="72">
        <f>2*PI()*C85*C83*10^C84</f>
        <v>5152.2119518872605</v>
      </c>
      <c r="C90" s="43"/>
      <c r="D90" s="43"/>
      <c r="E90" s="43"/>
      <c r="F90" s="48"/>
      <c r="G90" s="320" t="s">
        <v>760</v>
      </c>
      <c r="H90" s="72">
        <f>2*PI()*I85*I83*10^I84</f>
        <v>2764.601535159018</v>
      </c>
      <c r="I90" s="159"/>
      <c r="J90" s="159"/>
      <c r="K90" s="43"/>
      <c r="L90" s="300"/>
      <c r="M90" s="216"/>
    </row>
    <row r="91" spans="1:13" ht="12.75">
      <c r="A91" s="320" t="s">
        <v>773</v>
      </c>
      <c r="B91" s="920">
        <f>B90+B89</f>
        <v>5152.017860493246</v>
      </c>
      <c r="C91" s="920"/>
      <c r="D91" s="920"/>
      <c r="E91" s="920"/>
      <c r="F91" s="48" t="s">
        <v>22</v>
      </c>
      <c r="G91" s="320" t="s">
        <v>773</v>
      </c>
      <c r="H91" s="920">
        <f>(H90*H89)/(H90+H89)</f>
        <v>-416.16626914148617</v>
      </c>
      <c r="I91" s="920"/>
      <c r="J91" s="920"/>
      <c r="K91" s="43"/>
      <c r="L91" s="300" t="s">
        <v>22</v>
      </c>
      <c r="M91" s="216"/>
    </row>
    <row r="92" spans="1:13" ht="13.5" thickBot="1">
      <c r="A92" s="52"/>
      <c r="B92" s="50"/>
      <c r="C92" s="50"/>
      <c r="D92" s="205"/>
      <c r="E92" s="205"/>
      <c r="F92" s="51"/>
      <c r="G92" s="207"/>
      <c r="H92" s="50"/>
      <c r="I92" s="50"/>
      <c r="J92" s="50"/>
      <c r="K92" s="205"/>
      <c r="L92" s="206"/>
      <c r="M92" s="216"/>
    </row>
    <row r="93" spans="1:13" ht="12.75">
      <c r="A93" s="921" t="s">
        <v>770</v>
      </c>
      <c r="B93" s="922"/>
      <c r="C93" s="922"/>
      <c r="D93" s="922"/>
      <c r="E93" s="922"/>
      <c r="F93" s="923"/>
      <c r="G93" s="921" t="s">
        <v>771</v>
      </c>
      <c r="H93" s="922"/>
      <c r="I93" s="922"/>
      <c r="J93" s="922"/>
      <c r="K93" s="922"/>
      <c r="L93" s="923"/>
      <c r="M93" s="574"/>
    </row>
    <row r="94" spans="1:14" ht="12.75">
      <c r="A94" s="913"/>
      <c r="B94" s="914"/>
      <c r="C94" s="914"/>
      <c r="D94" s="204"/>
      <c r="E94" s="204"/>
      <c r="F94" s="343"/>
      <c r="G94" s="913"/>
      <c r="H94" s="914"/>
      <c r="I94" s="914"/>
      <c r="J94" s="203"/>
      <c r="K94" s="43"/>
      <c r="L94" s="108"/>
      <c r="M94" s="574"/>
      <c r="N94" s="575"/>
    </row>
    <row r="95" spans="1:13" ht="13.5" thickBot="1">
      <c r="A95" s="46"/>
      <c r="B95" s="44"/>
      <c r="C95" s="44"/>
      <c r="D95" s="44"/>
      <c r="E95" s="47"/>
      <c r="F95" s="45"/>
      <c r="G95" s="46"/>
      <c r="H95" s="44"/>
      <c r="I95" s="44"/>
      <c r="J95" s="203"/>
      <c r="K95" s="43"/>
      <c r="L95" s="108"/>
      <c r="M95" s="574"/>
    </row>
    <row r="96" spans="1:13" ht="12.75">
      <c r="A96" s="42"/>
      <c r="B96" s="326" t="s">
        <v>329</v>
      </c>
      <c r="C96" s="118">
        <v>820</v>
      </c>
      <c r="D96" s="324" t="s">
        <v>763</v>
      </c>
      <c r="E96" s="43"/>
      <c r="F96" s="108"/>
      <c r="G96" s="42"/>
      <c r="H96" s="326" t="s">
        <v>329</v>
      </c>
      <c r="I96" s="544">
        <v>1</v>
      </c>
      <c r="J96" s="324" t="s">
        <v>763</v>
      </c>
      <c r="K96" s="43"/>
      <c r="L96" s="300"/>
      <c r="M96" s="574"/>
    </row>
    <row r="97" spans="1:13" ht="12.75">
      <c r="A97" s="42"/>
      <c r="B97" s="326" t="s">
        <v>330</v>
      </c>
      <c r="C97" s="141">
        <v>-6</v>
      </c>
      <c r="D97" s="324"/>
      <c r="E97" s="43"/>
      <c r="F97" s="108"/>
      <c r="G97" s="42"/>
      <c r="H97" s="326" t="s">
        <v>330</v>
      </c>
      <c r="I97" s="141">
        <v>-13</v>
      </c>
      <c r="J97" s="353"/>
      <c r="K97" s="43"/>
      <c r="L97" s="300"/>
      <c r="M97" s="574"/>
    </row>
    <row r="98" spans="1:13" ht="12.75">
      <c r="A98" s="42"/>
      <c r="B98" s="326" t="s">
        <v>453</v>
      </c>
      <c r="C98" s="543">
        <v>820</v>
      </c>
      <c r="D98" s="364" t="s">
        <v>765</v>
      </c>
      <c r="E98" s="43"/>
      <c r="F98" s="108"/>
      <c r="G98" s="42"/>
      <c r="H98" s="326" t="s">
        <v>453</v>
      </c>
      <c r="I98" s="543">
        <v>1</v>
      </c>
      <c r="J98" s="364" t="s">
        <v>765</v>
      </c>
      <c r="K98" s="43"/>
      <c r="L98" s="301"/>
      <c r="M98" s="574"/>
    </row>
    <row r="99" spans="1:13" ht="12.75">
      <c r="A99" s="42"/>
      <c r="B99" s="326" t="s">
        <v>330</v>
      </c>
      <c r="C99" s="141">
        <v>-9</v>
      </c>
      <c r="D99" s="364"/>
      <c r="E99" s="43"/>
      <c r="F99" s="108"/>
      <c r="G99" s="42"/>
      <c r="H99" s="326" t="s">
        <v>330</v>
      </c>
      <c r="I99" s="141">
        <v>0</v>
      </c>
      <c r="J99" s="365"/>
      <c r="K99" s="43"/>
      <c r="L99" s="301"/>
      <c r="M99" s="574"/>
    </row>
    <row r="100" spans="1:13" ht="12.75">
      <c r="A100" s="42"/>
      <c r="B100" s="332" t="s">
        <v>387</v>
      </c>
      <c r="C100" s="141">
        <v>1000000</v>
      </c>
      <c r="D100" s="364" t="s">
        <v>764</v>
      </c>
      <c r="E100" s="43"/>
      <c r="F100" s="108"/>
      <c r="G100" s="42"/>
      <c r="H100" s="332" t="s">
        <v>387</v>
      </c>
      <c r="I100" s="543">
        <v>1000000</v>
      </c>
      <c r="J100" s="364" t="s">
        <v>764</v>
      </c>
      <c r="K100" s="43"/>
      <c r="L100" s="301"/>
      <c r="M100" s="216"/>
    </row>
    <row r="101" spans="1:13" ht="13.5" thickBot="1">
      <c r="A101" s="42"/>
      <c r="B101" s="326" t="s">
        <v>348</v>
      </c>
      <c r="C101" s="119">
        <v>1000</v>
      </c>
      <c r="D101" s="324" t="s">
        <v>50</v>
      </c>
      <c r="E101" s="43"/>
      <c r="F101" s="108"/>
      <c r="G101" s="42"/>
      <c r="H101" s="326" t="s">
        <v>348</v>
      </c>
      <c r="I101" s="119">
        <v>2000000</v>
      </c>
      <c r="J101" s="353" t="s">
        <v>50</v>
      </c>
      <c r="K101" s="43"/>
      <c r="L101" s="300"/>
      <c r="M101" s="574"/>
    </row>
    <row r="102" spans="1:13" ht="12.75">
      <c r="A102" s="42"/>
      <c r="B102" s="44"/>
      <c r="C102" s="331"/>
      <c r="D102" s="47"/>
      <c r="E102" s="43"/>
      <c r="F102" s="108"/>
      <c r="G102" s="42"/>
      <c r="H102" s="326"/>
      <c r="I102" s="331"/>
      <c r="J102" s="47"/>
      <c r="K102" s="43"/>
      <c r="L102" s="300"/>
      <c r="M102" s="216"/>
    </row>
    <row r="103" spans="1:13" ht="12.75">
      <c r="A103" s="44" t="s">
        <v>762</v>
      </c>
      <c r="B103" s="44" t="s">
        <v>761</v>
      </c>
      <c r="C103" s="331"/>
      <c r="D103" s="44" t="s">
        <v>766</v>
      </c>
      <c r="E103" s="43"/>
      <c r="F103" s="108"/>
      <c r="G103" s="44" t="s">
        <v>762</v>
      </c>
      <c r="H103" s="44" t="s">
        <v>761</v>
      </c>
      <c r="I103" s="44" t="s">
        <v>768</v>
      </c>
      <c r="J103" s="44"/>
      <c r="K103" s="347"/>
      <c r="L103" s="348"/>
      <c r="M103" s="574"/>
    </row>
    <row r="104" spans="1:13" ht="12.75">
      <c r="A104" s="44"/>
      <c r="B104" s="44"/>
      <c r="C104" s="331"/>
      <c r="D104" s="44"/>
      <c r="E104" s="43"/>
      <c r="F104" s="108"/>
      <c r="G104" s="44"/>
      <c r="H104" s="44" t="s">
        <v>772</v>
      </c>
      <c r="I104" s="44"/>
      <c r="J104" s="44"/>
      <c r="K104" s="347"/>
      <c r="L104" s="348"/>
      <c r="M104" s="216"/>
    </row>
    <row r="105" spans="1:13" ht="12.75">
      <c r="A105" s="44"/>
      <c r="B105" s="44"/>
      <c r="C105" s="331"/>
      <c r="D105" s="44"/>
      <c r="E105" s="43"/>
      <c r="F105" s="108"/>
      <c r="G105" s="44"/>
      <c r="H105" s="44"/>
      <c r="I105" s="44"/>
      <c r="J105" s="44"/>
      <c r="K105" s="347"/>
      <c r="L105" s="348"/>
      <c r="M105" s="574"/>
    </row>
    <row r="106" spans="1:13" ht="12.75">
      <c r="A106" s="44"/>
      <c r="B106" s="44"/>
      <c r="C106" s="331"/>
      <c r="D106" s="44"/>
      <c r="E106" s="43"/>
      <c r="F106" s="108"/>
      <c r="G106" s="320" t="s">
        <v>51</v>
      </c>
      <c r="H106" s="72">
        <f>-1/(2*PI()*I101*I96*10^I97)</f>
        <v>-795774.7154594767</v>
      </c>
      <c r="I106" s="331"/>
      <c r="J106" s="44"/>
      <c r="K106" s="347"/>
      <c r="L106" s="348"/>
      <c r="M106" s="216"/>
    </row>
    <row r="107" spans="1:13" ht="12.75">
      <c r="A107" s="46"/>
      <c r="B107" s="44"/>
      <c r="C107" s="43"/>
      <c r="D107" s="47"/>
      <c r="E107" s="43"/>
      <c r="F107" s="108"/>
      <c r="G107" s="320" t="s">
        <v>760</v>
      </c>
      <c r="H107" s="72">
        <f>2*PI()*I101*I98*10^I99</f>
        <v>12566370.614359172</v>
      </c>
      <c r="I107" s="44"/>
      <c r="J107" s="43"/>
      <c r="K107" s="43"/>
      <c r="L107" s="48"/>
      <c r="M107" s="216"/>
    </row>
    <row r="108" spans="1:13" ht="12.75">
      <c r="A108" s="320" t="s">
        <v>767</v>
      </c>
      <c r="B108" s="72">
        <f>-1/(2*PI()*C101*C96*10^C97)+(2*PI()*C101*C98*10^C99)</f>
        <v>-0.18893918206261928</v>
      </c>
      <c r="C108" s="43"/>
      <c r="D108" s="43"/>
      <c r="E108" s="43"/>
      <c r="F108" s="48" t="s">
        <v>22</v>
      </c>
      <c r="G108" s="320" t="s">
        <v>767</v>
      </c>
      <c r="H108" s="159">
        <f>(H106*H107)/(H106+H107)</f>
        <v>-849574.6592519408</v>
      </c>
      <c r="I108" s="331" t="s">
        <v>400</v>
      </c>
      <c r="J108" s="159" t="str">
        <f>COMPLEX(0,H108,"j")</f>
        <v>-849574.659251941j</v>
      </c>
      <c r="K108" s="43"/>
      <c r="L108" s="300" t="s">
        <v>22</v>
      </c>
      <c r="M108" s="216"/>
    </row>
    <row r="109" spans="1:13" ht="12.75">
      <c r="A109" s="320" t="s">
        <v>682</v>
      </c>
      <c r="B109" s="920" t="str">
        <f>COMPLEX(C100,B108,"j")</f>
        <v>1000000-0.188939182062619j</v>
      </c>
      <c r="C109" s="920"/>
      <c r="D109" s="920"/>
      <c r="E109" s="920"/>
      <c r="F109" s="48" t="s">
        <v>22</v>
      </c>
      <c r="G109" s="320" t="s">
        <v>682</v>
      </c>
      <c r="H109" s="920" t="str">
        <f>IMDIV(IMPRODUCT(I100,COMPLEX(0,H108,"j")),IMSUM(I100,COMPLEX(0,H108,"j")))</f>
        <v>419204.728041903-493428.945268939j</v>
      </c>
      <c r="I109" s="920"/>
      <c r="J109" s="920"/>
      <c r="K109" s="43"/>
      <c r="L109" s="300" t="s">
        <v>22</v>
      </c>
      <c r="M109" s="216"/>
    </row>
    <row r="110" spans="1:13" ht="12.75">
      <c r="A110" s="320" t="s">
        <v>683</v>
      </c>
      <c r="B110" s="159">
        <f>IMABS(B109)</f>
        <v>1000000.0000000178</v>
      </c>
      <c r="C110" s="43"/>
      <c r="D110" s="43"/>
      <c r="E110" s="43"/>
      <c r="F110" s="48" t="s">
        <v>22</v>
      </c>
      <c r="G110" s="320" t="s">
        <v>683</v>
      </c>
      <c r="H110" s="545">
        <f>IMABS(H109)</f>
        <v>647460.2134818041</v>
      </c>
      <c r="I110" s="159"/>
      <c r="J110" s="159"/>
      <c r="K110" s="43"/>
      <c r="L110" s="300" t="s">
        <v>22</v>
      </c>
      <c r="M110" s="216"/>
    </row>
    <row r="111" spans="1:13" ht="13.5" thickBot="1">
      <c r="A111" s="52"/>
      <c r="B111" s="50"/>
      <c r="C111" s="50"/>
      <c r="D111" s="205"/>
      <c r="E111" s="205"/>
      <c r="F111" s="51"/>
      <c r="G111" s="207"/>
      <c r="H111" s="50"/>
      <c r="I111" s="50"/>
      <c r="J111" s="50"/>
      <c r="K111" s="205"/>
      <c r="L111" s="206"/>
      <c r="M111" s="216"/>
    </row>
    <row r="112" spans="1:19" ht="12.75" customHeight="1">
      <c r="A112" s="942" t="s">
        <v>201</v>
      </c>
      <c r="B112" s="943"/>
      <c r="C112" s="944"/>
      <c r="D112" s="899" t="s">
        <v>140</v>
      </c>
      <c r="E112" s="900"/>
      <c r="F112" s="901"/>
      <c r="G112" s="899" t="s">
        <v>141</v>
      </c>
      <c r="H112" s="900"/>
      <c r="I112" s="900"/>
      <c r="J112" s="924" t="s">
        <v>202</v>
      </c>
      <c r="K112" s="925"/>
      <c r="L112" s="926"/>
      <c r="M112" s="924" t="s">
        <v>663</v>
      </c>
      <c r="N112" s="925"/>
      <c r="O112" s="926"/>
      <c r="P112" s="899" t="s">
        <v>445</v>
      </c>
      <c r="Q112" s="900"/>
      <c r="R112" s="900"/>
      <c r="S112" s="901"/>
    </row>
    <row r="113" spans="1:19" ht="13.5" thickBot="1">
      <c r="A113" s="945"/>
      <c r="B113" s="946"/>
      <c r="C113" s="947"/>
      <c r="D113" s="86"/>
      <c r="E113" s="68"/>
      <c r="F113" s="96"/>
      <c r="G113" s="86"/>
      <c r="H113" s="68"/>
      <c r="I113" s="68"/>
      <c r="J113" s="948"/>
      <c r="K113" s="949"/>
      <c r="L113" s="950"/>
      <c r="M113" s="518"/>
      <c r="N113" s="68"/>
      <c r="O113" s="96"/>
      <c r="P113" s="917" t="s">
        <v>446</v>
      </c>
      <c r="Q113" s="918"/>
      <c r="R113" s="918"/>
      <c r="S113" s="96"/>
    </row>
    <row r="114" spans="1:19" ht="13.5" thickBot="1">
      <c r="A114" s="179" t="s">
        <v>388</v>
      </c>
      <c r="B114" s="118">
        <v>4.335</v>
      </c>
      <c r="C114" s="342" t="s">
        <v>77</v>
      </c>
      <c r="D114" s="179" t="s">
        <v>388</v>
      </c>
      <c r="E114" s="118">
        <v>14</v>
      </c>
      <c r="F114" s="342" t="s">
        <v>77</v>
      </c>
      <c r="G114" s="70" t="s">
        <v>388</v>
      </c>
      <c r="H114" s="118">
        <f>E114</f>
        <v>14</v>
      </c>
      <c r="I114" s="342" t="s">
        <v>77</v>
      </c>
      <c r="J114" s="86"/>
      <c r="K114" s="68"/>
      <c r="L114" s="96"/>
      <c r="M114" s="179" t="s">
        <v>664</v>
      </c>
      <c r="N114" s="145">
        <v>2.07</v>
      </c>
      <c r="O114" s="96"/>
      <c r="P114" s="86"/>
      <c r="Q114" s="68"/>
      <c r="R114" s="88"/>
      <c r="S114" s="96"/>
    </row>
    <row r="115" spans="1:19" ht="13.5" thickBot="1">
      <c r="A115" s="180" t="s">
        <v>389</v>
      </c>
      <c r="B115" s="142">
        <v>1.3</v>
      </c>
      <c r="C115" s="308" t="s">
        <v>77</v>
      </c>
      <c r="D115" s="180" t="s">
        <v>389</v>
      </c>
      <c r="E115" s="142">
        <v>0.85</v>
      </c>
      <c r="F115" s="308" t="s">
        <v>77</v>
      </c>
      <c r="G115" s="71" t="s">
        <v>389</v>
      </c>
      <c r="H115" s="150">
        <f>E115</f>
        <v>0.85</v>
      </c>
      <c r="I115" s="308" t="s">
        <v>77</v>
      </c>
      <c r="J115" s="179" t="s">
        <v>329</v>
      </c>
      <c r="K115" s="148">
        <f>E121</f>
        <v>41.699367239473915</v>
      </c>
      <c r="L115" s="342" t="s">
        <v>196</v>
      </c>
      <c r="M115" s="86"/>
      <c r="N115" s="68"/>
      <c r="O115" s="96"/>
      <c r="P115" s="86"/>
      <c r="Q115" s="70" t="s">
        <v>447</v>
      </c>
      <c r="R115" s="118">
        <v>1.6</v>
      </c>
      <c r="S115" s="98" t="s">
        <v>77</v>
      </c>
    </row>
    <row r="116" spans="1:19" ht="13.5" thickBot="1">
      <c r="A116" s="180" t="s">
        <v>390</v>
      </c>
      <c r="B116" s="119">
        <v>2.07</v>
      </c>
      <c r="C116" s="308" t="s">
        <v>142</v>
      </c>
      <c r="D116" s="180" t="s">
        <v>390</v>
      </c>
      <c r="E116" s="119">
        <v>2.1</v>
      </c>
      <c r="F116" s="308" t="s">
        <v>142</v>
      </c>
      <c r="G116" s="86"/>
      <c r="H116" s="68"/>
      <c r="I116" s="68"/>
      <c r="J116" s="179" t="s">
        <v>347</v>
      </c>
      <c r="K116" s="607">
        <f>H121</f>
        <v>0.55883449420644</v>
      </c>
      <c r="L116" s="686" t="s">
        <v>926</v>
      </c>
      <c r="M116" s="917" t="s">
        <v>665</v>
      </c>
      <c r="N116" s="918"/>
      <c r="O116" s="919"/>
      <c r="P116" s="86"/>
      <c r="Q116" s="70" t="s">
        <v>448</v>
      </c>
      <c r="R116" s="119">
        <v>1</v>
      </c>
      <c r="S116" s="367" t="s">
        <v>77</v>
      </c>
    </row>
    <row r="117" spans="1:19" ht="12.75">
      <c r="A117" s="270" t="s">
        <v>136</v>
      </c>
      <c r="B117" s="89"/>
      <c r="C117" s="97"/>
      <c r="D117" s="270" t="s">
        <v>136</v>
      </c>
      <c r="E117" s="68"/>
      <c r="F117" s="96"/>
      <c r="G117" s="86"/>
      <c r="H117" s="68"/>
      <c r="I117" s="68"/>
      <c r="J117" s="86"/>
      <c r="K117" s="68"/>
      <c r="L117" s="96"/>
      <c r="M117" s="86"/>
      <c r="N117" s="68"/>
      <c r="O117" s="96"/>
      <c r="P117" s="86"/>
      <c r="Q117" s="368"/>
      <c r="R117" s="368"/>
      <c r="S117" s="96"/>
    </row>
    <row r="118" spans="1:19" ht="12.75">
      <c r="A118" s="87"/>
      <c r="B118" s="68"/>
      <c r="C118" s="98"/>
      <c r="D118" s="68"/>
      <c r="E118" s="68"/>
      <c r="F118" s="96"/>
      <c r="G118" s="917" t="s">
        <v>194</v>
      </c>
      <c r="H118" s="918"/>
      <c r="I118" s="919"/>
      <c r="J118" s="917" t="s">
        <v>195</v>
      </c>
      <c r="K118" s="918"/>
      <c r="L118" s="919"/>
      <c r="M118" s="344"/>
      <c r="N118" s="68"/>
      <c r="O118" s="96"/>
      <c r="P118" s="917"/>
      <c r="Q118" s="918"/>
      <c r="R118" s="918"/>
      <c r="S118" s="96"/>
    </row>
    <row r="119" spans="1:19" ht="12.75">
      <c r="A119" s="905" t="s">
        <v>193</v>
      </c>
      <c r="B119" s="906"/>
      <c r="C119" s="907"/>
      <c r="D119" s="917" t="s">
        <v>192</v>
      </c>
      <c r="E119" s="918"/>
      <c r="F119" s="919"/>
      <c r="G119" s="86"/>
      <c r="H119" s="68"/>
      <c r="I119" s="68"/>
      <c r="J119" s="86"/>
      <c r="K119" s="68"/>
      <c r="L119" s="96"/>
      <c r="M119" s="86"/>
      <c r="N119" s="68"/>
      <c r="O119" s="96"/>
      <c r="P119" s="917" t="s">
        <v>450</v>
      </c>
      <c r="Q119" s="918"/>
      <c r="R119" s="918"/>
      <c r="S119" s="96"/>
    </row>
    <row r="120" spans="1:19" ht="12.75">
      <c r="A120" s="87"/>
      <c r="B120" s="88"/>
      <c r="C120" s="98"/>
      <c r="D120" s="86"/>
      <c r="E120" s="68"/>
      <c r="F120" s="96"/>
      <c r="G120" s="86"/>
      <c r="H120" s="68"/>
      <c r="I120" s="68"/>
      <c r="J120" s="86"/>
      <c r="K120" s="68"/>
      <c r="L120" s="96"/>
      <c r="M120" s="86"/>
      <c r="N120" s="68"/>
      <c r="O120" s="96"/>
      <c r="P120" s="86"/>
      <c r="Q120" s="70"/>
      <c r="R120" s="70"/>
      <c r="S120" s="96"/>
    </row>
    <row r="121" spans="1:19" ht="12.75">
      <c r="A121" s="87" t="s">
        <v>139</v>
      </c>
      <c r="B121" s="151">
        <f>(138/B116^0.5)*LOG(B114/B115)</f>
        <v>50.16878587225378</v>
      </c>
      <c r="C121" s="308" t="s">
        <v>22</v>
      </c>
      <c r="D121" s="179" t="s">
        <v>317</v>
      </c>
      <c r="E121" s="151">
        <f>(24.16*E116)/(LOG10((E114/E115)))</f>
        <v>41.699367239473915</v>
      </c>
      <c r="F121" s="342" t="s">
        <v>196</v>
      </c>
      <c r="G121" s="344" t="s">
        <v>318</v>
      </c>
      <c r="H121" s="267">
        <f>0.4593*(LOG10((H114/H115)))</f>
        <v>0.55883449420644</v>
      </c>
      <c r="I121" s="342" t="s">
        <v>925</v>
      </c>
      <c r="J121" s="179" t="s">
        <v>318</v>
      </c>
      <c r="K121" s="151">
        <f>((K116*10^-6)/(K115*10^-12))^0.5</f>
        <v>115.76489179166698</v>
      </c>
      <c r="L121" s="342" t="s">
        <v>22</v>
      </c>
      <c r="M121" s="179" t="s">
        <v>666</v>
      </c>
      <c r="N121" s="157">
        <f>1/N114^0.5</f>
        <v>0.6950480468569159</v>
      </c>
      <c r="O121" s="96"/>
      <c r="P121" s="86"/>
      <c r="Q121" s="70" t="s">
        <v>449</v>
      </c>
      <c r="R121" s="157">
        <f>0.2*R115*(LN(4*R115/R116)+1)</f>
        <v>0.9140153569170006</v>
      </c>
      <c r="S121" s="96" t="s">
        <v>92</v>
      </c>
    </row>
    <row r="122" spans="1:19" ht="13.5" thickBot="1">
      <c r="A122" s="90"/>
      <c r="B122" s="91"/>
      <c r="C122" s="99"/>
      <c r="D122" s="103"/>
      <c r="E122" s="69"/>
      <c r="F122" s="104"/>
      <c r="G122" s="103"/>
      <c r="H122" s="69"/>
      <c r="I122" s="69"/>
      <c r="J122" s="103"/>
      <c r="K122" s="69"/>
      <c r="L122" s="104"/>
      <c r="M122" s="103"/>
      <c r="N122" s="69"/>
      <c r="O122" s="104"/>
      <c r="P122" s="103"/>
      <c r="Q122" s="69"/>
      <c r="R122" s="69"/>
      <c r="S122" s="104"/>
    </row>
    <row r="123" spans="1:15" ht="12.75">
      <c r="A123" s="92"/>
      <c r="B123" s="92"/>
      <c r="C123" s="92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</row>
    <row r="124" spans="1:15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</row>
  </sheetData>
  <sheetProtection/>
  <mergeCells count="135">
    <mergeCell ref="P119:R119"/>
    <mergeCell ref="P113:R113"/>
    <mergeCell ref="P118:R118"/>
    <mergeCell ref="P112:S112"/>
    <mergeCell ref="B91:E91"/>
    <mergeCell ref="H91:J91"/>
    <mergeCell ref="I87:J87"/>
    <mergeCell ref="A78:F78"/>
    <mergeCell ref="G78:L78"/>
    <mergeCell ref="A79:C79"/>
    <mergeCell ref="G79:I79"/>
    <mergeCell ref="A64:F64"/>
    <mergeCell ref="A65:C65"/>
    <mergeCell ref="B75:E75"/>
    <mergeCell ref="G64:L64"/>
    <mergeCell ref="G65:I65"/>
    <mergeCell ref="H75:J75"/>
    <mergeCell ref="H61:J61"/>
    <mergeCell ref="M31:N31"/>
    <mergeCell ref="M35:P35"/>
    <mergeCell ref="M39:P39"/>
    <mergeCell ref="I31:L31"/>
    <mergeCell ref="M32:P32"/>
    <mergeCell ref="M33:P33"/>
    <mergeCell ref="M40:P40"/>
    <mergeCell ref="G40:I40"/>
    <mergeCell ref="J118:L118"/>
    <mergeCell ref="G112:I112"/>
    <mergeCell ref="A119:C119"/>
    <mergeCell ref="D119:F119"/>
    <mergeCell ref="G118:I118"/>
    <mergeCell ref="A112:C113"/>
    <mergeCell ref="D112:F112"/>
    <mergeCell ref="J112:L113"/>
    <mergeCell ref="E35:F35"/>
    <mergeCell ref="A36:B36"/>
    <mergeCell ref="E37:F37"/>
    <mergeCell ref="A51:C51"/>
    <mergeCell ref="E38:F38"/>
    <mergeCell ref="A50:F50"/>
    <mergeCell ref="A40:C41"/>
    <mergeCell ref="D40:F41"/>
    <mergeCell ref="A46:C46"/>
    <mergeCell ref="M26:P26"/>
    <mergeCell ref="A31:B31"/>
    <mergeCell ref="A15:B15"/>
    <mergeCell ref="G51:I51"/>
    <mergeCell ref="D46:F46"/>
    <mergeCell ref="G50:L50"/>
    <mergeCell ref="A26:B26"/>
    <mergeCell ref="E26:F26"/>
    <mergeCell ref="A23:B23"/>
    <mergeCell ref="E36:F36"/>
    <mergeCell ref="A17:B17"/>
    <mergeCell ref="A18:B18"/>
    <mergeCell ref="A29:B29"/>
    <mergeCell ref="E28:F28"/>
    <mergeCell ref="A25:B25"/>
    <mergeCell ref="E25:F25"/>
    <mergeCell ref="E27:F27"/>
    <mergeCell ref="A27:B27"/>
    <mergeCell ref="M25:P25"/>
    <mergeCell ref="E16:F16"/>
    <mergeCell ref="E17:F17"/>
    <mergeCell ref="E18:F18"/>
    <mergeCell ref="M24:N24"/>
    <mergeCell ref="M16:P16"/>
    <mergeCell ref="M20:P20"/>
    <mergeCell ref="M22:N22"/>
    <mergeCell ref="M18:N18"/>
    <mergeCell ref="E33:F33"/>
    <mergeCell ref="E34:F34"/>
    <mergeCell ref="A37:B37"/>
    <mergeCell ref="M29:N29"/>
    <mergeCell ref="A30:B30"/>
    <mergeCell ref="E29:F29"/>
    <mergeCell ref="A32:B32"/>
    <mergeCell ref="A33:B33"/>
    <mergeCell ref="A34:B34"/>
    <mergeCell ref="A35:B35"/>
    <mergeCell ref="M1:P1"/>
    <mergeCell ref="M2:P2"/>
    <mergeCell ref="M3:N3"/>
    <mergeCell ref="M4:N4"/>
    <mergeCell ref="M5:N5"/>
    <mergeCell ref="M9:N9"/>
    <mergeCell ref="M8:N8"/>
    <mergeCell ref="M11:N11"/>
    <mergeCell ref="M14:N14"/>
    <mergeCell ref="E15:F15"/>
    <mergeCell ref="E23:F23"/>
    <mergeCell ref="A24:B24"/>
    <mergeCell ref="E24:F24"/>
    <mergeCell ref="A20:D20"/>
    <mergeCell ref="E20:H20"/>
    <mergeCell ref="E21:F21"/>
    <mergeCell ref="A22:B22"/>
    <mergeCell ref="E22:F22"/>
    <mergeCell ref="A16:B16"/>
    <mergeCell ref="E10:F10"/>
    <mergeCell ref="E12:F12"/>
    <mergeCell ref="E14:F14"/>
    <mergeCell ref="A11:B11"/>
    <mergeCell ref="A12:B12"/>
    <mergeCell ref="A13:B13"/>
    <mergeCell ref="A14:B14"/>
    <mergeCell ref="E11:F11"/>
    <mergeCell ref="E8:F8"/>
    <mergeCell ref="A10:B10"/>
    <mergeCell ref="E9:F9"/>
    <mergeCell ref="A8:B8"/>
    <mergeCell ref="M116:O116"/>
    <mergeCell ref="J40:L40"/>
    <mergeCell ref="B109:E109"/>
    <mergeCell ref="H109:J109"/>
    <mergeCell ref="A93:F93"/>
    <mergeCell ref="G93:L93"/>
    <mergeCell ref="A94:C94"/>
    <mergeCell ref="G45:I45"/>
    <mergeCell ref="B61:E61"/>
    <mergeCell ref="M112:O112"/>
    <mergeCell ref="A1:D1"/>
    <mergeCell ref="E1:H1"/>
    <mergeCell ref="A2:B2"/>
    <mergeCell ref="E2:F2"/>
    <mergeCell ref="G94:I94"/>
    <mergeCell ref="A3:B3"/>
    <mergeCell ref="E3:F3"/>
    <mergeCell ref="A4:B4"/>
    <mergeCell ref="E4:F4"/>
    <mergeCell ref="A5:B5"/>
    <mergeCell ref="E5:F5"/>
    <mergeCell ref="A6:B6"/>
    <mergeCell ref="A7:B7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0.00390625" style="0" bestFit="1" customWidth="1"/>
    <col min="6" max="6" width="12.140625" style="0" customWidth="1"/>
    <col min="7" max="7" width="11.140625" style="0" customWidth="1"/>
    <col min="9" max="9" width="11.57421875" style="0" customWidth="1"/>
    <col min="10" max="10" width="10.7109375" style="0" customWidth="1"/>
    <col min="11" max="11" width="9.00390625" style="0" customWidth="1"/>
    <col min="12" max="12" width="10.00390625" style="0" customWidth="1"/>
    <col min="13" max="13" width="11.8515625" style="0" customWidth="1"/>
    <col min="14" max="14" width="12.28125" style="0" customWidth="1"/>
    <col min="15" max="15" width="9.00390625" style="0" customWidth="1"/>
    <col min="16" max="16" width="13.421875" style="0" customWidth="1"/>
    <col min="18" max="18" width="8.140625" style="0" customWidth="1"/>
    <col min="19" max="19" width="12.00390625" style="0" customWidth="1"/>
    <col min="20" max="20" width="9.57421875" style="0" customWidth="1"/>
    <col min="21" max="22" width="13.00390625" style="0" customWidth="1"/>
  </cols>
  <sheetData>
    <row r="1" spans="1:24" ht="12.75">
      <c r="A1" s="187"/>
      <c r="B1" s="850" t="s">
        <v>223</v>
      </c>
      <c r="C1" s="850"/>
      <c r="D1" s="188"/>
      <c r="E1" s="191"/>
      <c r="F1" s="900" t="s">
        <v>233</v>
      </c>
      <c r="G1" s="900"/>
      <c r="H1" s="285"/>
      <c r="I1" s="974" t="s">
        <v>272</v>
      </c>
      <c r="J1" s="975"/>
      <c r="K1" s="975"/>
      <c r="L1" s="976"/>
      <c r="M1" s="964" t="s">
        <v>620</v>
      </c>
      <c r="N1" s="965"/>
      <c r="O1" s="966"/>
      <c r="P1" s="873" t="s">
        <v>586</v>
      </c>
      <c r="Q1" s="850"/>
      <c r="R1" s="875"/>
      <c r="S1" s="961" t="s">
        <v>847</v>
      </c>
      <c r="T1" s="962"/>
      <c r="U1" s="963"/>
      <c r="V1" s="961" t="s">
        <v>848</v>
      </c>
      <c r="W1" s="962"/>
      <c r="X1" s="963"/>
    </row>
    <row r="2" spans="1:24" ht="13.5" thickBot="1">
      <c r="A2" s="30"/>
      <c r="B2" s="31"/>
      <c r="C2" s="31"/>
      <c r="D2" s="32"/>
      <c r="E2" s="86"/>
      <c r="F2" s="68"/>
      <c r="G2" s="68"/>
      <c r="H2" s="68"/>
      <c r="I2" s="275" t="s">
        <v>301</v>
      </c>
      <c r="J2" s="277" t="s">
        <v>266</v>
      </c>
      <c r="K2" s="277" t="s">
        <v>268</v>
      </c>
      <c r="L2" s="276" t="s">
        <v>269</v>
      </c>
      <c r="M2" s="452"/>
      <c r="N2" s="448"/>
      <c r="O2" s="453"/>
      <c r="P2" s="30"/>
      <c r="Q2" s="31"/>
      <c r="R2" s="32"/>
      <c r="S2" s="621"/>
      <c r="T2" s="479"/>
      <c r="U2" s="622"/>
      <c r="V2" s="621"/>
      <c r="W2" s="479"/>
      <c r="X2" s="622"/>
    </row>
    <row r="3" spans="1:24" ht="13.5" thickBot="1">
      <c r="A3" s="30"/>
      <c r="B3" s="184" t="s">
        <v>437</v>
      </c>
      <c r="C3" s="118">
        <v>2.12</v>
      </c>
      <c r="D3" s="32"/>
      <c r="E3" s="988" t="s">
        <v>431</v>
      </c>
      <c r="F3" s="990"/>
      <c r="G3" s="118">
        <v>1.19</v>
      </c>
      <c r="H3" s="68"/>
      <c r="I3" s="275">
        <f aca="true" t="shared" si="0" ref="I3:I21">IF(J3&gt;0,J3,FALSE)</f>
        <v>62.9</v>
      </c>
      <c r="J3" s="243">
        <v>62.9</v>
      </c>
      <c r="K3" s="277">
        <f aca="true" t="shared" si="1" ref="K3:K22">IF(J3&gt;0,(J3-$I$23)^2,0)</f>
        <v>0.4011111111111195</v>
      </c>
      <c r="L3" s="230">
        <f>IF(J3&gt;0,1,0)</f>
        <v>1</v>
      </c>
      <c r="M3" s="454" t="s">
        <v>616</v>
      </c>
      <c r="N3" s="118">
        <v>1.422</v>
      </c>
      <c r="O3" s="455"/>
      <c r="P3" s="315" t="s">
        <v>590</v>
      </c>
      <c r="Q3" s="145">
        <f>7.5/2</f>
        <v>3.75</v>
      </c>
      <c r="R3" s="32" t="s">
        <v>56</v>
      </c>
      <c r="S3" s="623" t="s">
        <v>849</v>
      </c>
      <c r="T3" s="118">
        <v>0.285</v>
      </c>
      <c r="U3" s="622"/>
      <c r="V3" s="623" t="s">
        <v>849</v>
      </c>
      <c r="W3" s="118">
        <v>1</v>
      </c>
      <c r="X3" s="622"/>
    </row>
    <row r="4" spans="1:24" ht="13.5" thickBot="1">
      <c r="A4" s="30"/>
      <c r="B4" s="184" t="s">
        <v>438</v>
      </c>
      <c r="C4" s="119">
        <v>1.39</v>
      </c>
      <c r="D4" s="32"/>
      <c r="E4" s="988" t="s">
        <v>432</v>
      </c>
      <c r="F4" s="990"/>
      <c r="G4" s="119">
        <v>1.1</v>
      </c>
      <c r="H4" s="68"/>
      <c r="I4" s="275">
        <f t="shared" si="0"/>
        <v>60</v>
      </c>
      <c r="J4" s="244">
        <v>60</v>
      </c>
      <c r="K4" s="277">
        <f t="shared" si="1"/>
        <v>12.484444444444481</v>
      </c>
      <c r="L4" s="230">
        <f aca="true" t="shared" si="2" ref="L4:L22">IF(J4&gt;0,1,0)</f>
        <v>1</v>
      </c>
      <c r="M4" s="454" t="s">
        <v>617</v>
      </c>
      <c r="N4" s="119">
        <v>1.422</v>
      </c>
      <c r="O4" s="455"/>
      <c r="P4" s="470"/>
      <c r="Q4" s="471"/>
      <c r="R4" s="472"/>
      <c r="S4" s="624" t="s">
        <v>850</v>
      </c>
      <c r="T4" s="119">
        <v>0.3103</v>
      </c>
      <c r="U4" s="622"/>
      <c r="V4" s="624" t="s">
        <v>851</v>
      </c>
      <c r="W4" s="119">
        <v>90</v>
      </c>
      <c r="X4" s="622" t="s">
        <v>852</v>
      </c>
    </row>
    <row r="5" spans="1:24" ht="12.75">
      <c r="A5" s="30"/>
      <c r="B5" s="31"/>
      <c r="C5" s="186"/>
      <c r="D5" s="32"/>
      <c r="E5" s="86"/>
      <c r="F5" s="68"/>
      <c r="G5" s="190"/>
      <c r="H5" s="447"/>
      <c r="I5" s="275">
        <f t="shared" si="0"/>
        <v>67.7</v>
      </c>
      <c r="J5" s="244">
        <v>67.7</v>
      </c>
      <c r="K5" s="277">
        <f t="shared" si="1"/>
        <v>17.361111111111093</v>
      </c>
      <c r="L5" s="230">
        <f t="shared" si="2"/>
        <v>1</v>
      </c>
      <c r="M5" s="456"/>
      <c r="N5" s="450"/>
      <c r="O5" s="457"/>
      <c r="P5" s="971" t="s">
        <v>588</v>
      </c>
      <c r="Q5" s="972"/>
      <c r="R5" s="973"/>
      <c r="S5" s="621"/>
      <c r="T5" s="479"/>
      <c r="U5" s="622"/>
      <c r="V5" s="621"/>
      <c r="W5" s="479"/>
      <c r="X5" s="622"/>
    </row>
    <row r="6" spans="1:24" ht="12.75">
      <c r="A6" s="951" t="s">
        <v>225</v>
      </c>
      <c r="B6" s="952"/>
      <c r="C6" s="952"/>
      <c r="D6" s="953"/>
      <c r="E6" s="917"/>
      <c r="F6" s="918"/>
      <c r="G6" s="918"/>
      <c r="H6" s="918"/>
      <c r="I6" s="275" t="b">
        <f t="shared" si="0"/>
        <v>0</v>
      </c>
      <c r="J6" s="244">
        <v>0</v>
      </c>
      <c r="K6" s="277">
        <f t="shared" si="1"/>
        <v>0</v>
      </c>
      <c r="L6" s="230">
        <f t="shared" si="2"/>
        <v>0</v>
      </c>
      <c r="M6" s="967" t="s">
        <v>621</v>
      </c>
      <c r="N6" s="906"/>
      <c r="O6" s="968"/>
      <c r="P6" s="470"/>
      <c r="Q6" s="473"/>
      <c r="R6" s="472"/>
      <c r="S6" s="954" t="s">
        <v>853</v>
      </c>
      <c r="T6" s="955"/>
      <c r="U6" s="956"/>
      <c r="V6" s="954" t="s">
        <v>854</v>
      </c>
      <c r="W6" s="955"/>
      <c r="X6" s="956"/>
    </row>
    <row r="7" spans="1:24" ht="12.75">
      <c r="A7" s="30"/>
      <c r="B7" s="184" t="s">
        <v>224</v>
      </c>
      <c r="C7" s="76">
        <f>C3/C4*100</f>
        <v>152.51798561151082</v>
      </c>
      <c r="D7" s="32" t="s">
        <v>98</v>
      </c>
      <c r="E7" s="988" t="s">
        <v>232</v>
      </c>
      <c r="F7" s="989"/>
      <c r="G7" s="114">
        <f>(G3+G4)/2</f>
        <v>1.145</v>
      </c>
      <c r="H7" s="68"/>
      <c r="I7" s="275" t="b">
        <f t="shared" si="0"/>
        <v>0</v>
      </c>
      <c r="J7" s="244">
        <v>0</v>
      </c>
      <c r="K7" s="277">
        <f t="shared" si="1"/>
        <v>0</v>
      </c>
      <c r="L7" s="230">
        <f t="shared" si="2"/>
        <v>0</v>
      </c>
      <c r="M7" s="967" t="s">
        <v>618</v>
      </c>
      <c r="N7" s="906"/>
      <c r="O7" s="968"/>
      <c r="P7" s="474" t="s">
        <v>589</v>
      </c>
      <c r="Q7" s="475">
        <f>2*PI()*Q3</f>
        <v>23.561944901923447</v>
      </c>
      <c r="R7" s="472" t="s">
        <v>56</v>
      </c>
      <c r="S7" s="621"/>
      <c r="T7" s="479"/>
      <c r="U7" s="622"/>
      <c r="V7" s="621"/>
      <c r="W7" s="479"/>
      <c r="X7" s="622"/>
    </row>
    <row r="8" spans="1:24" ht="13.5" thickBot="1">
      <c r="A8" s="30"/>
      <c r="B8" s="31"/>
      <c r="C8" s="31"/>
      <c r="D8" s="32"/>
      <c r="E8" s="103"/>
      <c r="F8" s="69"/>
      <c r="G8" s="69"/>
      <c r="H8" s="69"/>
      <c r="I8" s="275" t="b">
        <f t="shared" si="0"/>
        <v>0</v>
      </c>
      <c r="J8" s="244">
        <v>0</v>
      </c>
      <c r="K8" s="277">
        <f t="shared" si="1"/>
        <v>0</v>
      </c>
      <c r="L8" s="230">
        <f t="shared" si="2"/>
        <v>0</v>
      </c>
      <c r="M8" s="458"/>
      <c r="N8" s="447"/>
      <c r="O8" s="459"/>
      <c r="P8" s="431"/>
      <c r="Q8" s="67"/>
      <c r="R8" s="38"/>
      <c r="S8" s="623" t="s">
        <v>855</v>
      </c>
      <c r="T8" s="625">
        <f>ASIN(T3/T4)*180/PI()</f>
        <v>66.70284206975674</v>
      </c>
      <c r="U8" s="626" t="s">
        <v>852</v>
      </c>
      <c r="V8" s="623" t="s">
        <v>856</v>
      </c>
      <c r="W8" s="625">
        <f>W3/SIN(W4*PI()/180)</f>
        <v>1</v>
      </c>
      <c r="X8" s="626"/>
    </row>
    <row r="9" spans="1:24" ht="13.5" thickBot="1">
      <c r="A9" s="187"/>
      <c r="B9" s="850" t="s">
        <v>223</v>
      </c>
      <c r="C9" s="850"/>
      <c r="D9" s="188"/>
      <c r="E9" s="192"/>
      <c r="F9" s="799" t="s">
        <v>235</v>
      </c>
      <c r="G9" s="799"/>
      <c r="H9" s="286"/>
      <c r="I9" s="275" t="b">
        <f t="shared" si="0"/>
        <v>0</v>
      </c>
      <c r="J9" s="244">
        <v>0</v>
      </c>
      <c r="K9" s="277">
        <f t="shared" si="1"/>
        <v>0</v>
      </c>
      <c r="L9" s="230">
        <f t="shared" si="2"/>
        <v>0</v>
      </c>
      <c r="M9" s="454" t="s">
        <v>622</v>
      </c>
      <c r="N9" s="451">
        <f>N3*N4</f>
        <v>2.022084</v>
      </c>
      <c r="O9" s="459"/>
      <c r="P9" s="873" t="s">
        <v>586</v>
      </c>
      <c r="Q9" s="850"/>
      <c r="R9" s="875"/>
      <c r="S9" s="627"/>
      <c r="T9" s="480"/>
      <c r="U9" s="628"/>
      <c r="V9" s="627"/>
      <c r="W9" s="480"/>
      <c r="X9" s="628"/>
    </row>
    <row r="10" spans="1:24" ht="13.5" thickBot="1">
      <c r="A10" s="30"/>
      <c r="B10" s="31"/>
      <c r="C10" s="31"/>
      <c r="D10" s="32"/>
      <c r="E10" s="60"/>
      <c r="F10" s="61"/>
      <c r="G10" s="61"/>
      <c r="H10" s="61"/>
      <c r="I10" s="275" t="b">
        <f t="shared" si="0"/>
        <v>0</v>
      </c>
      <c r="J10" s="244">
        <v>0</v>
      </c>
      <c r="K10" s="277">
        <f t="shared" si="1"/>
        <v>0</v>
      </c>
      <c r="L10" s="230">
        <f t="shared" si="2"/>
        <v>0</v>
      </c>
      <c r="M10" s="454" t="s">
        <v>619</v>
      </c>
      <c r="N10" s="451">
        <f>2*N3+2*N4</f>
        <v>5.688</v>
      </c>
      <c r="O10" s="457"/>
      <c r="P10" s="30"/>
      <c r="Q10" s="31"/>
      <c r="R10" s="32"/>
      <c r="S10" s="961" t="s">
        <v>857</v>
      </c>
      <c r="T10" s="962"/>
      <c r="U10" s="963"/>
      <c r="V10" s="961" t="s">
        <v>858</v>
      </c>
      <c r="W10" s="962"/>
      <c r="X10" s="963"/>
    </row>
    <row r="11" spans="1:24" ht="13.5" thickBot="1">
      <c r="A11" s="30"/>
      <c r="B11" s="184" t="s">
        <v>437</v>
      </c>
      <c r="C11" s="118">
        <v>185.5</v>
      </c>
      <c r="D11" s="32"/>
      <c r="E11" s="833" t="s">
        <v>433</v>
      </c>
      <c r="F11" s="834"/>
      <c r="G11" s="118">
        <v>8</v>
      </c>
      <c r="H11" s="61"/>
      <c r="I11" s="275" t="b">
        <f t="shared" si="0"/>
        <v>0</v>
      </c>
      <c r="J11" s="244">
        <v>0</v>
      </c>
      <c r="K11" s="277">
        <f t="shared" si="1"/>
        <v>0</v>
      </c>
      <c r="L11" s="230">
        <f t="shared" si="2"/>
        <v>0</v>
      </c>
      <c r="M11" s="460"/>
      <c r="N11" s="461"/>
      <c r="O11" s="462"/>
      <c r="P11" s="315" t="s">
        <v>591</v>
      </c>
      <c r="Q11" s="145">
        <v>309</v>
      </c>
      <c r="R11" s="32" t="s">
        <v>56</v>
      </c>
      <c r="S11" s="621"/>
      <c r="T11" s="479"/>
      <c r="U11" s="622"/>
      <c r="V11" s="621"/>
      <c r="W11" s="479"/>
      <c r="X11" s="622"/>
    </row>
    <row r="12" spans="1:24" ht="13.5" thickBot="1">
      <c r="A12" s="30"/>
      <c r="B12" s="184" t="s">
        <v>438</v>
      </c>
      <c r="C12" s="119">
        <v>50</v>
      </c>
      <c r="D12" s="32"/>
      <c r="E12" s="833" t="s">
        <v>434</v>
      </c>
      <c r="F12" s="834"/>
      <c r="G12" s="119">
        <v>10</v>
      </c>
      <c r="H12" s="58" t="s">
        <v>3</v>
      </c>
      <c r="I12" s="275" t="b">
        <f t="shared" si="0"/>
        <v>0</v>
      </c>
      <c r="J12" s="244">
        <v>0</v>
      </c>
      <c r="K12" s="277">
        <f t="shared" si="1"/>
        <v>0</v>
      </c>
      <c r="L12" s="230">
        <f t="shared" si="2"/>
        <v>0</v>
      </c>
      <c r="M12" s="964" t="s">
        <v>625</v>
      </c>
      <c r="N12" s="965"/>
      <c r="O12" s="966"/>
      <c r="P12" s="30"/>
      <c r="Q12" s="31"/>
      <c r="R12" s="32"/>
      <c r="S12" s="623" t="s">
        <v>859</v>
      </c>
      <c r="T12" s="118">
        <v>0.285</v>
      </c>
      <c r="U12" s="622"/>
      <c r="V12" s="623" t="s">
        <v>859</v>
      </c>
      <c r="W12" s="118">
        <f>T22</f>
        <v>1125</v>
      </c>
      <c r="X12" s="622"/>
    </row>
    <row r="13" spans="1:24" ht="13.5" thickBot="1">
      <c r="A13" s="30"/>
      <c r="B13" s="31"/>
      <c r="C13" s="186"/>
      <c r="D13" s="32"/>
      <c r="E13" s="60"/>
      <c r="F13" s="61"/>
      <c r="G13" s="61"/>
      <c r="H13" s="61"/>
      <c r="I13" s="275" t="b">
        <f t="shared" si="0"/>
        <v>0</v>
      </c>
      <c r="J13" s="244">
        <v>0</v>
      </c>
      <c r="K13" s="277">
        <f t="shared" si="1"/>
        <v>0</v>
      </c>
      <c r="L13" s="230">
        <f t="shared" si="2"/>
        <v>0</v>
      </c>
      <c r="M13" s="456"/>
      <c r="N13" s="449"/>
      <c r="O13" s="457"/>
      <c r="P13" s="951" t="s">
        <v>592</v>
      </c>
      <c r="Q13" s="952"/>
      <c r="R13" s="953"/>
      <c r="S13" s="624" t="s">
        <v>850</v>
      </c>
      <c r="T13" s="119">
        <v>0.3103</v>
      </c>
      <c r="U13" s="622"/>
      <c r="V13" s="624" t="s">
        <v>851</v>
      </c>
      <c r="W13" s="119">
        <f>T26</f>
        <v>53.49368782492407</v>
      </c>
      <c r="X13" s="622" t="s">
        <v>852</v>
      </c>
    </row>
    <row r="14" spans="1:24" ht="13.5" thickBot="1">
      <c r="A14" s="951" t="s">
        <v>222</v>
      </c>
      <c r="B14" s="952"/>
      <c r="C14" s="952"/>
      <c r="D14" s="953"/>
      <c r="E14" s="997" t="s">
        <v>473</v>
      </c>
      <c r="F14" s="998"/>
      <c r="G14" s="998"/>
      <c r="H14" s="999"/>
      <c r="I14" s="275" t="b">
        <f t="shared" si="0"/>
        <v>0</v>
      </c>
      <c r="J14" s="244">
        <v>0</v>
      </c>
      <c r="K14" s="277">
        <f t="shared" si="1"/>
        <v>0</v>
      </c>
      <c r="L14" s="230">
        <f t="shared" si="2"/>
        <v>0</v>
      </c>
      <c r="M14" s="454" t="s">
        <v>596</v>
      </c>
      <c r="N14" s="145">
        <f>Q31</f>
        <v>10.962348803659912</v>
      </c>
      <c r="O14" s="457"/>
      <c r="P14" s="30"/>
      <c r="Q14" s="31"/>
      <c r="R14" s="32"/>
      <c r="S14" s="621"/>
      <c r="T14" s="479"/>
      <c r="U14" s="622"/>
      <c r="V14" s="621"/>
      <c r="W14" s="479"/>
      <c r="X14" s="622"/>
    </row>
    <row r="15" spans="1:24" ht="12.75">
      <c r="A15" s="30"/>
      <c r="B15" s="184" t="s">
        <v>224</v>
      </c>
      <c r="C15" s="76">
        <f>C12/C11*100</f>
        <v>26.954177897574123</v>
      </c>
      <c r="D15" s="32" t="s">
        <v>98</v>
      </c>
      <c r="E15" s="997" t="s">
        <v>234</v>
      </c>
      <c r="F15" s="998"/>
      <c r="G15" s="116">
        <f>G12/2^G11</f>
        <v>0.0390625</v>
      </c>
      <c r="H15" s="55" t="s">
        <v>3</v>
      </c>
      <c r="I15" s="275" t="b">
        <f t="shared" si="0"/>
        <v>0</v>
      </c>
      <c r="J15" s="244">
        <v>0</v>
      </c>
      <c r="K15" s="277">
        <f t="shared" si="1"/>
        <v>0</v>
      </c>
      <c r="L15" s="230">
        <f t="shared" si="2"/>
        <v>0</v>
      </c>
      <c r="M15" s="456"/>
      <c r="N15" s="449"/>
      <c r="O15" s="457"/>
      <c r="P15" s="463" t="s">
        <v>589</v>
      </c>
      <c r="Q15" s="432">
        <f>PI()*Q11</f>
        <v>970.7521299592461</v>
      </c>
      <c r="R15" s="464" t="s">
        <v>56</v>
      </c>
      <c r="S15" s="954" t="s">
        <v>860</v>
      </c>
      <c r="T15" s="955"/>
      <c r="U15" s="956"/>
      <c r="V15" s="954" t="s">
        <v>861</v>
      </c>
      <c r="W15" s="955"/>
      <c r="X15" s="956"/>
    </row>
    <row r="16" spans="1:24" ht="13.5" thickBot="1">
      <c r="A16" s="30"/>
      <c r="B16" s="31"/>
      <c r="C16" s="31"/>
      <c r="D16" s="32"/>
      <c r="E16" s="62"/>
      <c r="F16" s="63"/>
      <c r="G16" s="63"/>
      <c r="H16" s="63"/>
      <c r="I16" s="275" t="b">
        <f t="shared" si="0"/>
        <v>0</v>
      </c>
      <c r="J16" s="244">
        <v>0</v>
      </c>
      <c r="K16" s="277">
        <f t="shared" si="1"/>
        <v>0</v>
      </c>
      <c r="L16" s="230">
        <f t="shared" si="2"/>
        <v>0</v>
      </c>
      <c r="M16" s="967" t="s">
        <v>623</v>
      </c>
      <c r="N16" s="906"/>
      <c r="O16" s="968"/>
      <c r="P16" s="465"/>
      <c r="Q16" s="466"/>
      <c r="R16" s="467"/>
      <c r="S16" s="621"/>
      <c r="T16" s="479"/>
      <c r="U16" s="622"/>
      <c r="V16" s="621"/>
      <c r="W16" s="479"/>
      <c r="X16" s="622"/>
    </row>
    <row r="17" spans="1:24" ht="12.75">
      <c r="A17" s="189"/>
      <c r="B17" s="850" t="s">
        <v>97</v>
      </c>
      <c r="C17" s="850"/>
      <c r="D17" s="66"/>
      <c r="E17" s="155"/>
      <c r="F17" s="900" t="s">
        <v>242</v>
      </c>
      <c r="G17" s="900"/>
      <c r="H17" s="263"/>
      <c r="I17" s="275" t="b">
        <f t="shared" si="0"/>
        <v>0</v>
      </c>
      <c r="J17" s="244">
        <v>0</v>
      </c>
      <c r="K17" s="277">
        <f t="shared" si="1"/>
        <v>0</v>
      </c>
      <c r="L17" s="230">
        <f t="shared" si="2"/>
        <v>0</v>
      </c>
      <c r="M17" s="967" t="s">
        <v>626</v>
      </c>
      <c r="N17" s="906"/>
      <c r="O17" s="968"/>
      <c r="P17" s="873" t="s">
        <v>593</v>
      </c>
      <c r="Q17" s="850"/>
      <c r="R17" s="875"/>
      <c r="S17" s="623" t="s">
        <v>855</v>
      </c>
      <c r="T17" s="625">
        <f>ACOS(T12/T13)*180/PI()</f>
        <v>23.29715793024326</v>
      </c>
      <c r="U17" s="626" t="s">
        <v>852</v>
      </c>
      <c r="V17" s="623" t="s">
        <v>856</v>
      </c>
      <c r="W17" s="625">
        <f>W12/COS(W13*PI()/180)</f>
        <v>1891.0380747092324</v>
      </c>
      <c r="X17" s="626"/>
    </row>
    <row r="18" spans="1:24" ht="13.5" thickBot="1">
      <c r="A18" s="31"/>
      <c r="B18" s="31"/>
      <c r="C18" s="31"/>
      <c r="D18" s="32"/>
      <c r="E18" s="86"/>
      <c r="F18" s="68"/>
      <c r="G18" s="68"/>
      <c r="H18" s="68"/>
      <c r="I18" s="275" t="b">
        <f t="shared" si="0"/>
        <v>0</v>
      </c>
      <c r="J18" s="244">
        <v>0</v>
      </c>
      <c r="K18" s="277">
        <f t="shared" si="1"/>
        <v>0</v>
      </c>
      <c r="L18" s="230">
        <f t="shared" si="2"/>
        <v>0</v>
      </c>
      <c r="M18" s="458"/>
      <c r="N18" s="447"/>
      <c r="O18" s="459"/>
      <c r="P18" s="468"/>
      <c r="Q18" s="469"/>
      <c r="R18" s="464"/>
      <c r="S18" s="627"/>
      <c r="T18" s="480"/>
      <c r="U18" s="628"/>
      <c r="V18" s="627"/>
      <c r="W18" s="480"/>
      <c r="X18" s="628"/>
    </row>
    <row r="19" spans="1:24" ht="13.5" thickBot="1">
      <c r="A19" s="1001" t="s">
        <v>436</v>
      </c>
      <c r="B19" s="1002"/>
      <c r="C19" s="118">
        <v>197.5</v>
      </c>
      <c r="D19" s="32"/>
      <c r="E19" s="86"/>
      <c r="F19" s="70" t="s">
        <v>430</v>
      </c>
      <c r="G19" s="199" t="s">
        <v>472</v>
      </c>
      <c r="H19" s="68"/>
      <c r="I19" s="275" t="b">
        <f t="shared" si="0"/>
        <v>0</v>
      </c>
      <c r="J19" s="244">
        <v>0</v>
      </c>
      <c r="K19" s="277">
        <f t="shared" si="1"/>
        <v>0</v>
      </c>
      <c r="L19" s="230">
        <f t="shared" si="2"/>
        <v>0</v>
      </c>
      <c r="M19" s="454" t="s">
        <v>624</v>
      </c>
      <c r="N19" s="451">
        <f>N14^0.5</f>
        <v>3.310943793491504</v>
      </c>
      <c r="O19" s="457"/>
      <c r="P19" s="463" t="s">
        <v>590</v>
      </c>
      <c r="Q19" s="145">
        <f>Q39</f>
        <v>0.954929658551372</v>
      </c>
      <c r="R19" s="84" t="s">
        <v>56</v>
      </c>
      <c r="S19" s="961" t="s">
        <v>862</v>
      </c>
      <c r="T19" s="962"/>
      <c r="U19" s="963"/>
      <c r="V19" s="961" t="s">
        <v>863</v>
      </c>
      <c r="W19" s="962"/>
      <c r="X19" s="963"/>
    </row>
    <row r="20" spans="1:24" ht="15.75" thickBot="1">
      <c r="A20" s="1001" t="s">
        <v>332</v>
      </c>
      <c r="B20" s="1002"/>
      <c r="C20" s="119">
        <v>19.5</v>
      </c>
      <c r="D20" s="165" t="s">
        <v>98</v>
      </c>
      <c r="E20" s="86"/>
      <c r="F20" s="70" t="s">
        <v>244</v>
      </c>
      <c r="G20" s="200">
        <f>HEX2DEC(G19)</f>
        <v>12</v>
      </c>
      <c r="H20" s="68"/>
      <c r="I20" s="275" t="b">
        <f t="shared" si="0"/>
        <v>0</v>
      </c>
      <c r="J20" s="244">
        <v>0</v>
      </c>
      <c r="K20" s="277">
        <f t="shared" si="1"/>
        <v>0</v>
      </c>
      <c r="L20" s="230">
        <f t="shared" si="2"/>
        <v>0</v>
      </c>
      <c r="M20" s="454" t="s">
        <v>619</v>
      </c>
      <c r="N20" s="451">
        <f>4*N19</f>
        <v>13.243775173966016</v>
      </c>
      <c r="O20" s="459"/>
      <c r="P20" s="468"/>
      <c r="Q20" s="469"/>
      <c r="R20" s="464"/>
      <c r="S20" s="621"/>
      <c r="T20" s="479"/>
      <c r="U20" s="622"/>
      <c r="V20" s="621"/>
      <c r="W20" s="479"/>
      <c r="X20" s="622"/>
    </row>
    <row r="21" spans="1:24" ht="13.5" thickBot="1">
      <c r="A21" s="184"/>
      <c r="B21" s="184"/>
      <c r="C21" s="185"/>
      <c r="D21" s="32"/>
      <c r="E21" s="86"/>
      <c r="F21" s="68"/>
      <c r="G21" s="105"/>
      <c r="H21" s="68"/>
      <c r="I21" s="275" t="b">
        <f t="shared" si="0"/>
        <v>0</v>
      </c>
      <c r="J21" s="244">
        <v>0</v>
      </c>
      <c r="K21" s="277">
        <f t="shared" si="1"/>
        <v>0</v>
      </c>
      <c r="L21" s="230">
        <f t="shared" si="2"/>
        <v>0</v>
      </c>
      <c r="M21" s="460"/>
      <c r="N21" s="461"/>
      <c r="O21" s="462"/>
      <c r="P21" s="871" t="s">
        <v>594</v>
      </c>
      <c r="Q21" s="969"/>
      <c r="R21" s="970"/>
      <c r="S21" s="623" t="s">
        <v>849</v>
      </c>
      <c r="T21" s="118">
        <v>1520</v>
      </c>
      <c r="U21" s="622"/>
      <c r="V21" s="623" t="s">
        <v>864</v>
      </c>
      <c r="W21" s="118">
        <v>1</v>
      </c>
      <c r="X21" s="622"/>
    </row>
    <row r="22" spans="1:24" ht="13.5" thickBot="1">
      <c r="A22" s="1001" t="s">
        <v>99</v>
      </c>
      <c r="B22" s="1001"/>
      <c r="C22" s="185">
        <f>(C19*C20/100)+C19</f>
        <v>236.0125</v>
      </c>
      <c r="D22" s="32"/>
      <c r="E22" s="86"/>
      <c r="F22" s="68" t="s">
        <v>244</v>
      </c>
      <c r="G22" s="199">
        <f>G28</f>
        <v>12</v>
      </c>
      <c r="H22" s="68"/>
      <c r="I22" s="275" t="b">
        <f>IF(J22&gt;0,J22,FALSE)</f>
        <v>0</v>
      </c>
      <c r="J22" s="245">
        <v>0</v>
      </c>
      <c r="K22" s="277">
        <f t="shared" si="1"/>
        <v>0</v>
      </c>
      <c r="L22" s="230">
        <f t="shared" si="2"/>
        <v>0</v>
      </c>
      <c r="M22" s="959" t="s">
        <v>474</v>
      </c>
      <c r="N22" s="870"/>
      <c r="O22" s="960"/>
      <c r="P22" s="468"/>
      <c r="Q22" s="469"/>
      <c r="R22" s="464"/>
      <c r="S22" s="623" t="s">
        <v>859</v>
      </c>
      <c r="T22" s="119">
        <f>2250/2</f>
        <v>1125</v>
      </c>
      <c r="U22" s="622"/>
      <c r="V22" s="624" t="s">
        <v>851</v>
      </c>
      <c r="W22" s="119">
        <v>0</v>
      </c>
      <c r="X22" s="622" t="s">
        <v>852</v>
      </c>
    </row>
    <row r="23" spans="1:24" ht="12.75">
      <c r="A23" s="1008" t="s">
        <v>100</v>
      </c>
      <c r="B23" s="1008"/>
      <c r="C23" s="76">
        <f>C19-(C19*C20/100)</f>
        <v>158.9875</v>
      </c>
      <c r="D23" s="84"/>
      <c r="E23" s="86"/>
      <c r="F23" s="70" t="s">
        <v>243</v>
      </c>
      <c r="G23" s="114" t="str">
        <f>DEC2HEX(G22)</f>
        <v>C</v>
      </c>
      <c r="H23" s="68"/>
      <c r="I23" s="275">
        <f>J23/L23</f>
        <v>63.53333333333334</v>
      </c>
      <c r="J23" s="242">
        <f>SUM(J3:J22)</f>
        <v>190.60000000000002</v>
      </c>
      <c r="K23" s="274">
        <f>SUM(K3:K22)</f>
        <v>30.24666666666669</v>
      </c>
      <c r="L23" s="276">
        <f>SUM(L3:L22)</f>
        <v>3</v>
      </c>
      <c r="M23" s="11"/>
      <c r="N23" s="11"/>
      <c r="O23" s="11"/>
      <c r="P23" s="463" t="s">
        <v>595</v>
      </c>
      <c r="Q23" s="76">
        <f>PI()*Q19^2</f>
        <v>2.864788975654116</v>
      </c>
      <c r="R23" s="84" t="s">
        <v>936</v>
      </c>
      <c r="S23" s="621"/>
      <c r="T23" s="479"/>
      <c r="U23" s="622"/>
      <c r="V23" s="621"/>
      <c r="W23" s="479"/>
      <c r="X23" s="622"/>
    </row>
    <row r="24" spans="1:24" ht="13.5" thickBot="1">
      <c r="A24" s="37"/>
      <c r="B24" s="37"/>
      <c r="C24" s="37"/>
      <c r="D24" s="85"/>
      <c r="E24" s="103"/>
      <c r="F24" s="69"/>
      <c r="G24" s="69"/>
      <c r="H24" s="69"/>
      <c r="I24" s="979" t="s">
        <v>267</v>
      </c>
      <c r="J24" s="980"/>
      <c r="K24" s="980"/>
      <c r="L24" s="981"/>
      <c r="M24" s="387"/>
      <c r="N24" s="477"/>
      <c r="O24" s="11"/>
      <c r="P24" s="465"/>
      <c r="Q24" s="466"/>
      <c r="R24" s="467"/>
      <c r="S24" s="954" t="s">
        <v>865</v>
      </c>
      <c r="T24" s="955"/>
      <c r="U24" s="956"/>
      <c r="V24" s="954" t="s">
        <v>866</v>
      </c>
      <c r="W24" s="955"/>
      <c r="X24" s="956"/>
    </row>
    <row r="25" spans="1:24" ht="12.75">
      <c r="A25" s="921" t="s">
        <v>455</v>
      </c>
      <c r="B25" s="922"/>
      <c r="C25" s="922"/>
      <c r="D25" s="922"/>
      <c r="E25" s="155"/>
      <c r="F25" s="900" t="s">
        <v>471</v>
      </c>
      <c r="G25" s="900"/>
      <c r="H25" s="263"/>
      <c r="I25" s="979" t="s">
        <v>253</v>
      </c>
      <c r="J25" s="980"/>
      <c r="K25" s="980"/>
      <c r="L25" s="981"/>
      <c r="M25" s="387"/>
      <c r="N25" s="11"/>
      <c r="O25" s="11"/>
      <c r="P25" s="873" t="s">
        <v>593</v>
      </c>
      <c r="Q25" s="850"/>
      <c r="R25" s="875"/>
      <c r="S25" s="621"/>
      <c r="T25" s="479"/>
      <c r="U25" s="622"/>
      <c r="V25" s="621"/>
      <c r="W25" s="479"/>
      <c r="X25" s="622"/>
    </row>
    <row r="26" spans="1:24" ht="13.5" thickBot="1">
      <c r="A26" s="42"/>
      <c r="B26" s="43"/>
      <c r="C26" s="43"/>
      <c r="D26" s="43"/>
      <c r="E26" s="86"/>
      <c r="F26" s="68"/>
      <c r="G26" s="68"/>
      <c r="H26" s="68"/>
      <c r="I26" s="227"/>
      <c r="J26" s="228"/>
      <c r="K26" s="228"/>
      <c r="L26" s="229"/>
      <c r="M26" s="387"/>
      <c r="N26" s="40"/>
      <c r="O26" s="11"/>
      <c r="P26" s="468"/>
      <c r="Q26" s="469"/>
      <c r="R26" s="464"/>
      <c r="S26" s="623" t="s">
        <v>855</v>
      </c>
      <c r="T26" s="625">
        <f>ATAN(T21/T22)*180/PI()</f>
        <v>53.49368782492407</v>
      </c>
      <c r="U26" s="626" t="s">
        <v>852</v>
      </c>
      <c r="V26" s="623" t="s">
        <v>867</v>
      </c>
      <c r="W26" s="625">
        <f>W21*COS(W22*PI()/180)</f>
        <v>1</v>
      </c>
      <c r="X26" s="626"/>
    </row>
    <row r="27" spans="1:24" ht="13.5" thickBot="1">
      <c r="A27" s="1003" t="s">
        <v>436</v>
      </c>
      <c r="B27" s="1004"/>
      <c r="C27" s="118">
        <v>90</v>
      </c>
      <c r="D27" s="43"/>
      <c r="E27" s="86"/>
      <c r="F27" s="70" t="s">
        <v>470</v>
      </c>
      <c r="G27" s="199">
        <v>1100</v>
      </c>
      <c r="H27" s="68"/>
      <c r="I27" s="984"/>
      <c r="J27" s="985"/>
      <c r="K27" s="985"/>
      <c r="L27" s="986"/>
      <c r="M27" s="387"/>
      <c r="N27" s="11"/>
      <c r="O27" s="498"/>
      <c r="P27" s="463" t="s">
        <v>591</v>
      </c>
      <c r="Q27" s="145">
        <v>3.736</v>
      </c>
      <c r="R27" s="84" t="s">
        <v>56</v>
      </c>
      <c r="S27" s="627"/>
      <c r="T27" s="480"/>
      <c r="U27" s="628"/>
      <c r="V27" s="627"/>
      <c r="W27" s="480"/>
      <c r="X27" s="628"/>
    </row>
    <row r="28" spans="1:24" ht="15.75" thickBot="1">
      <c r="A28" s="1003" t="s">
        <v>332</v>
      </c>
      <c r="B28" s="1004"/>
      <c r="C28" s="119">
        <f>200*45</f>
        <v>9000</v>
      </c>
      <c r="D28" s="43" t="s">
        <v>456</v>
      </c>
      <c r="E28" s="86"/>
      <c r="F28" s="70" t="s">
        <v>244</v>
      </c>
      <c r="G28" s="200">
        <f>BIN2DEC(G27)</f>
        <v>12</v>
      </c>
      <c r="H28" s="68"/>
      <c r="I28" s="979"/>
      <c r="J28" s="980"/>
      <c r="K28" s="980"/>
      <c r="L28" s="981"/>
      <c r="M28" s="387"/>
      <c r="N28" s="499"/>
      <c r="O28" s="11"/>
      <c r="P28" s="30"/>
      <c r="Q28" s="31"/>
      <c r="R28" s="32"/>
      <c r="S28" s="961" t="s">
        <v>868</v>
      </c>
      <c r="T28" s="962"/>
      <c r="U28" s="963"/>
      <c r="V28" s="961" t="s">
        <v>869</v>
      </c>
      <c r="W28" s="962"/>
      <c r="X28" s="963"/>
    </row>
    <row r="29" spans="1:24" ht="13.5" thickBot="1">
      <c r="A29" s="376"/>
      <c r="B29" s="332"/>
      <c r="C29" s="377"/>
      <c r="D29" s="43"/>
      <c r="E29" s="86"/>
      <c r="F29" s="68"/>
      <c r="G29" s="105"/>
      <c r="H29" s="68"/>
      <c r="I29" s="227"/>
      <c r="J29" s="228"/>
      <c r="K29" s="228"/>
      <c r="L29" s="229"/>
      <c r="M29" s="500"/>
      <c r="N29" s="11"/>
      <c r="O29" s="11"/>
      <c r="P29" s="951" t="s">
        <v>599</v>
      </c>
      <c r="Q29" s="952"/>
      <c r="R29" s="953"/>
      <c r="S29" s="621"/>
      <c r="T29" s="479"/>
      <c r="U29" s="622"/>
      <c r="V29" s="621"/>
      <c r="W29" s="479"/>
      <c r="X29" s="622"/>
    </row>
    <row r="30" spans="1:24" ht="13.5" thickBot="1">
      <c r="A30" s="1003" t="s">
        <v>99</v>
      </c>
      <c r="B30" s="1005"/>
      <c r="C30" s="377">
        <f>(C27*C28/1000000)+C27</f>
        <v>90.81</v>
      </c>
      <c r="D30" s="43"/>
      <c r="E30" s="86"/>
      <c r="F30" s="68" t="s">
        <v>244</v>
      </c>
      <c r="G30" s="199">
        <f>G20</f>
        <v>12</v>
      </c>
      <c r="H30" s="68"/>
      <c r="I30" s="227"/>
      <c r="J30" s="228"/>
      <c r="K30" s="228"/>
      <c r="L30" s="229"/>
      <c r="M30" s="330"/>
      <c r="N30" s="40"/>
      <c r="O30" s="11"/>
      <c r="P30" s="30"/>
      <c r="Q30" s="31"/>
      <c r="R30" s="32"/>
      <c r="S30" s="623" t="s">
        <v>864</v>
      </c>
      <c r="T30" s="118">
        <v>1293</v>
      </c>
      <c r="U30" s="622"/>
      <c r="V30" s="623" t="s">
        <v>849</v>
      </c>
      <c r="W30" s="118">
        <v>0.591</v>
      </c>
      <c r="X30" s="622"/>
    </row>
    <row r="31" spans="1:24" ht="13.5" thickBot="1">
      <c r="A31" s="1006" t="s">
        <v>100</v>
      </c>
      <c r="B31" s="1007"/>
      <c r="C31" s="72">
        <f>C27-(C27*C28/1000000)</f>
        <v>89.19</v>
      </c>
      <c r="D31" s="44"/>
      <c r="E31" s="86"/>
      <c r="F31" s="70" t="s">
        <v>470</v>
      </c>
      <c r="G31" s="114" t="str">
        <f>DEC2BIN(G30,8)</f>
        <v>00001100</v>
      </c>
      <c r="H31" s="68"/>
      <c r="I31" s="227"/>
      <c r="J31" s="228" t="s">
        <v>300</v>
      </c>
      <c r="K31" s="982">
        <f>SUM(J3:J22)/L23</f>
        <v>63.53333333333334</v>
      </c>
      <c r="L31" s="987"/>
      <c r="M31" s="501"/>
      <c r="N31" s="210"/>
      <c r="O31" s="429"/>
      <c r="P31" s="315" t="s">
        <v>595</v>
      </c>
      <c r="Q31" s="76">
        <f>PI()*(Q27/2)^2</f>
        <v>10.962348803659912</v>
      </c>
      <c r="R31" s="32" t="s">
        <v>937</v>
      </c>
      <c r="S31" s="624" t="s">
        <v>851</v>
      </c>
      <c r="T31" s="119">
        <v>10</v>
      </c>
      <c r="U31" s="622" t="s">
        <v>852</v>
      </c>
      <c r="V31" s="624" t="s">
        <v>851</v>
      </c>
      <c r="W31" s="119">
        <v>14</v>
      </c>
      <c r="X31" s="622" t="s">
        <v>852</v>
      </c>
    </row>
    <row r="32" spans="1:24" ht="13.5" thickBot="1">
      <c r="A32" s="52"/>
      <c r="B32" s="50"/>
      <c r="C32" s="50"/>
      <c r="D32" s="50"/>
      <c r="E32" s="103"/>
      <c r="F32" s="69"/>
      <c r="G32" s="69"/>
      <c r="H32" s="69"/>
      <c r="I32" s="977" t="s">
        <v>297</v>
      </c>
      <c r="J32" s="978"/>
      <c r="K32" s="982">
        <f>MAX(J3:J22)</f>
        <v>67.7</v>
      </c>
      <c r="L32" s="987"/>
      <c r="M32" s="501"/>
      <c r="N32" s="210"/>
      <c r="O32" s="429"/>
      <c r="P32" s="30"/>
      <c r="Q32" s="31"/>
      <c r="R32" s="32"/>
      <c r="S32" s="621"/>
      <c r="T32" s="479"/>
      <c r="U32" s="622"/>
      <c r="V32" s="621"/>
      <c r="W32" s="479"/>
      <c r="X32" s="622"/>
    </row>
    <row r="33" spans="1:24" ht="12.75">
      <c r="A33" s="861" t="s">
        <v>217</v>
      </c>
      <c r="B33" s="862"/>
      <c r="C33" s="862"/>
      <c r="D33" s="863"/>
      <c r="E33" s="837" t="s">
        <v>483</v>
      </c>
      <c r="F33" s="838"/>
      <c r="G33" s="838"/>
      <c r="H33" s="839"/>
      <c r="I33" s="977" t="s">
        <v>298</v>
      </c>
      <c r="J33" s="978"/>
      <c r="K33" s="982">
        <f>MIN(I3:I22)</f>
        <v>60</v>
      </c>
      <c r="L33" s="987"/>
      <c r="M33" s="501"/>
      <c r="N33" s="210"/>
      <c r="O33" s="438"/>
      <c r="P33" s="873" t="s">
        <v>605</v>
      </c>
      <c r="Q33" s="850"/>
      <c r="R33" s="875"/>
      <c r="S33" s="954" t="s">
        <v>870</v>
      </c>
      <c r="T33" s="955"/>
      <c r="U33" s="956"/>
      <c r="V33" s="954" t="s">
        <v>871</v>
      </c>
      <c r="W33" s="955"/>
      <c r="X33" s="956"/>
    </row>
    <row r="34" spans="1:24" ht="13.5" thickBot="1">
      <c r="A34" s="20"/>
      <c r="B34" s="21"/>
      <c r="C34" s="21"/>
      <c r="D34" s="22"/>
      <c r="E34" s="268"/>
      <c r="F34" s="16"/>
      <c r="G34" s="16"/>
      <c r="H34" s="78"/>
      <c r="I34" s="1009" t="s">
        <v>299</v>
      </c>
      <c r="J34" s="1010"/>
      <c r="K34" s="982">
        <f>MEDIAN(I3:I22)</f>
        <v>62.9</v>
      </c>
      <c r="L34" s="987"/>
      <c r="M34" s="389"/>
      <c r="N34" s="211"/>
      <c r="O34" s="438"/>
      <c r="P34" s="30"/>
      <c r="Q34" s="31"/>
      <c r="R34" s="32"/>
      <c r="S34" s="621"/>
      <c r="T34" s="479"/>
      <c r="U34" s="622"/>
      <c r="V34" s="621"/>
      <c r="W34" s="479"/>
      <c r="X34" s="622"/>
    </row>
    <row r="35" spans="1:24" ht="13.5" thickBot="1">
      <c r="A35" s="991" t="s">
        <v>435</v>
      </c>
      <c r="B35" s="1000"/>
      <c r="C35" s="117">
        <f>5/8</f>
        <v>0.625</v>
      </c>
      <c r="D35" s="82" t="s">
        <v>214</v>
      </c>
      <c r="E35" s="352"/>
      <c r="F35" s="323" t="s">
        <v>331</v>
      </c>
      <c r="G35" s="401">
        <v>0.00011</v>
      </c>
      <c r="H35" s="78" t="s">
        <v>260</v>
      </c>
      <c r="I35" s="977" t="s">
        <v>270</v>
      </c>
      <c r="J35" s="978"/>
      <c r="K35" s="982">
        <f>(K23/(L23-1))^0.5</f>
        <v>3.8888730158406233</v>
      </c>
      <c r="L35" s="983"/>
      <c r="M35" s="439"/>
      <c r="N35" s="209"/>
      <c r="O35" s="440"/>
      <c r="P35" s="315" t="s">
        <v>596</v>
      </c>
      <c r="Q35" s="145">
        <f>Q63</f>
        <v>2.864788975654116</v>
      </c>
      <c r="R35" s="32" t="s">
        <v>937</v>
      </c>
      <c r="S35" s="623" t="s">
        <v>872</v>
      </c>
      <c r="T35" s="625">
        <f>T30*SIN(T31*PI()/180)</f>
        <v>224.52709372334093</v>
      </c>
      <c r="U35" s="626"/>
      <c r="V35" s="623" t="s">
        <v>867</v>
      </c>
      <c r="W35" s="625">
        <f>W30/TAN(W31*PI()/180)</f>
        <v>2.3703715317196843</v>
      </c>
      <c r="X35" s="626"/>
    </row>
    <row r="36" spans="1:24" ht="13.5" thickBot="1">
      <c r="A36" s="991" t="s">
        <v>216</v>
      </c>
      <c r="B36" s="992"/>
      <c r="C36" s="41">
        <f>C35*25.4</f>
        <v>15.875</v>
      </c>
      <c r="D36" s="82" t="s">
        <v>77</v>
      </c>
      <c r="E36" s="404" t="s">
        <v>484</v>
      </c>
      <c r="F36" s="405">
        <f>2.99792458</f>
        <v>2.99792458</v>
      </c>
      <c r="G36" s="405" t="s">
        <v>485</v>
      </c>
      <c r="H36" s="406" t="s">
        <v>486</v>
      </c>
      <c r="I36" s="231"/>
      <c r="J36" s="232"/>
      <c r="K36" s="232"/>
      <c r="L36" s="233"/>
      <c r="M36" s="441"/>
      <c r="N36" s="390"/>
      <c r="O36" s="430"/>
      <c r="P36" s="30"/>
      <c r="Q36" s="31"/>
      <c r="R36" s="32"/>
      <c r="S36" s="627"/>
      <c r="T36" s="480"/>
      <c r="U36" s="628"/>
      <c r="V36" s="627"/>
      <c r="W36" s="480"/>
      <c r="X36" s="628"/>
    </row>
    <row r="37" spans="1:24" ht="12.75">
      <c r="A37" s="993" t="s">
        <v>221</v>
      </c>
      <c r="B37" s="994"/>
      <c r="C37" s="994"/>
      <c r="D37" s="995"/>
      <c r="E37" s="352"/>
      <c r="F37" s="16" t="s">
        <v>487</v>
      </c>
      <c r="G37" s="402">
        <f>G35*F36*10^8</f>
        <v>32977.17038</v>
      </c>
      <c r="H37" s="78" t="s">
        <v>489</v>
      </c>
      <c r="I37" s="899" t="s">
        <v>497</v>
      </c>
      <c r="J37" s="900"/>
      <c r="K37" s="900"/>
      <c r="L37" s="901"/>
      <c r="M37" s="961" t="s">
        <v>914</v>
      </c>
      <c r="N37" s="962"/>
      <c r="O37" s="963"/>
      <c r="P37" s="951" t="s">
        <v>597</v>
      </c>
      <c r="Q37" s="952"/>
      <c r="R37" s="953"/>
      <c r="S37" s="961" t="s">
        <v>873</v>
      </c>
      <c r="T37" s="962"/>
      <c r="U37" s="963"/>
      <c r="V37" s="957"/>
      <c r="W37" s="958"/>
      <c r="X37" s="958"/>
    </row>
    <row r="38" spans="1:24" ht="13.5" thickBot="1">
      <c r="A38" s="993"/>
      <c r="B38" s="994"/>
      <c r="C38" s="994"/>
      <c r="D38" s="995"/>
      <c r="E38" s="15"/>
      <c r="F38" s="16"/>
      <c r="G38" s="403">
        <f>G37/1000</f>
        <v>32.977170380000004</v>
      </c>
      <c r="H38" s="78" t="s">
        <v>488</v>
      </c>
      <c r="I38" s="86"/>
      <c r="J38" s="68"/>
      <c r="K38" s="68"/>
      <c r="L38" s="96"/>
      <c r="M38" s="479"/>
      <c r="N38" s="479"/>
      <c r="O38" s="479"/>
      <c r="P38" s="30"/>
      <c r="Q38" s="31"/>
      <c r="R38" s="32"/>
      <c r="S38" s="621"/>
      <c r="T38" s="479"/>
      <c r="U38" s="622"/>
      <c r="V38" s="79"/>
      <c r="W38" s="79"/>
      <c r="X38" s="79"/>
    </row>
    <row r="39" spans="1:24" ht="13.5" thickBot="1">
      <c r="A39" s="996" t="s">
        <v>216</v>
      </c>
      <c r="B39" s="843"/>
      <c r="C39" s="117">
        <v>75</v>
      </c>
      <c r="D39" s="82" t="s">
        <v>77</v>
      </c>
      <c r="E39" s="15"/>
      <c r="F39" s="16"/>
      <c r="G39" s="16"/>
      <c r="H39" s="78"/>
      <c r="I39" s="86"/>
      <c r="J39" s="70" t="s">
        <v>492</v>
      </c>
      <c r="K39" s="199">
        <v>24</v>
      </c>
      <c r="L39" s="96" t="s">
        <v>494</v>
      </c>
      <c r="M39" s="479" t="s">
        <v>639</v>
      </c>
      <c r="N39" s="199">
        <v>60</v>
      </c>
      <c r="O39" s="481" t="s">
        <v>56</v>
      </c>
      <c r="P39" s="315" t="s">
        <v>587</v>
      </c>
      <c r="Q39" s="76">
        <f>(Q35/PI())^0.5</f>
        <v>0.954929658551372</v>
      </c>
      <c r="R39" s="32" t="s">
        <v>56</v>
      </c>
      <c r="S39" s="623" t="s">
        <v>859</v>
      </c>
      <c r="T39" s="118">
        <v>0.591</v>
      </c>
      <c r="U39" s="622"/>
      <c r="V39" s="260"/>
      <c r="W39" s="93"/>
      <c r="X39" s="79"/>
    </row>
    <row r="40" spans="1:24" ht="15.75" thickBot="1">
      <c r="A40" s="991" t="s">
        <v>215</v>
      </c>
      <c r="B40" s="992"/>
      <c r="C40" s="41">
        <f>C39/25.4</f>
        <v>2.952755905511811</v>
      </c>
      <c r="D40" s="82" t="s">
        <v>214</v>
      </c>
      <c r="E40" s="352"/>
      <c r="F40" s="16"/>
      <c r="G40" s="16"/>
      <c r="H40" s="78"/>
      <c r="I40" s="86"/>
      <c r="J40" s="70" t="s">
        <v>493</v>
      </c>
      <c r="K40" s="200">
        <f>K39*1.825216</f>
        <v>43.805184</v>
      </c>
      <c r="L40" s="96" t="s">
        <v>488</v>
      </c>
      <c r="M40" s="479" t="s">
        <v>495</v>
      </c>
      <c r="N40" s="482">
        <f>N39*N41</f>
        <v>96.56064</v>
      </c>
      <c r="O40" s="481" t="s">
        <v>488</v>
      </c>
      <c r="P40" s="30"/>
      <c r="Q40" s="31"/>
      <c r="R40" s="32"/>
      <c r="S40" s="624" t="s">
        <v>851</v>
      </c>
      <c r="T40" s="119">
        <v>14</v>
      </c>
      <c r="U40" s="622" t="s">
        <v>852</v>
      </c>
      <c r="V40" s="261"/>
      <c r="W40" s="93"/>
      <c r="X40" s="79"/>
    </row>
    <row r="41" spans="1:24" ht="13.5" thickBot="1">
      <c r="A41" s="991" t="s">
        <v>218</v>
      </c>
      <c r="B41" s="992"/>
      <c r="C41" s="378">
        <f>C40</f>
        <v>2.952755905511811</v>
      </c>
      <c r="D41" s="22"/>
      <c r="E41" s="15"/>
      <c r="F41" s="16" t="s">
        <v>490</v>
      </c>
      <c r="G41" s="407">
        <v>30000</v>
      </c>
      <c r="H41" s="78" t="s">
        <v>56</v>
      </c>
      <c r="I41" s="86"/>
      <c r="J41" s="68"/>
      <c r="K41" s="105"/>
      <c r="L41" s="96"/>
      <c r="M41" s="481" t="s">
        <v>640</v>
      </c>
      <c r="N41" s="481">
        <v>1.609344</v>
      </c>
      <c r="O41" s="479"/>
      <c r="P41" s="951" t="s">
        <v>600</v>
      </c>
      <c r="Q41" s="952"/>
      <c r="R41" s="953"/>
      <c r="S41" s="621"/>
      <c r="T41" s="479"/>
      <c r="U41" s="622"/>
      <c r="V41" s="79"/>
      <c r="W41" s="93"/>
      <c r="X41" s="79"/>
    </row>
    <row r="42" spans="1:24" ht="13.5" thickBot="1">
      <c r="A42" s="991" t="s">
        <v>219</v>
      </c>
      <c r="B42" s="992"/>
      <c r="C42" s="379">
        <f>C40</f>
        <v>2.952755905511811</v>
      </c>
      <c r="D42" s="82"/>
      <c r="E42" s="15"/>
      <c r="F42" s="16"/>
      <c r="G42" s="16"/>
      <c r="H42" s="78"/>
      <c r="I42" s="86"/>
      <c r="J42" s="68" t="s">
        <v>495</v>
      </c>
      <c r="K42" s="408">
        <v>4</v>
      </c>
      <c r="L42" s="96" t="s">
        <v>488</v>
      </c>
      <c r="M42" s="479" t="s">
        <v>495</v>
      </c>
      <c r="N42" s="199">
        <v>100</v>
      </c>
      <c r="O42" s="481" t="s">
        <v>488</v>
      </c>
      <c r="P42" s="30"/>
      <c r="Q42" s="31"/>
      <c r="R42" s="32"/>
      <c r="S42" s="954" t="s">
        <v>943</v>
      </c>
      <c r="T42" s="955"/>
      <c r="U42" s="956"/>
      <c r="V42" s="722"/>
      <c r="W42" s="213"/>
      <c r="X42" s="213"/>
    </row>
    <row r="43" spans="1:24" ht="15">
      <c r="A43" s="991" t="s">
        <v>220</v>
      </c>
      <c r="B43" s="992"/>
      <c r="C43" s="380">
        <f>C40</f>
        <v>2.952755905511811</v>
      </c>
      <c r="D43" s="82"/>
      <c r="E43" s="15"/>
      <c r="F43" s="323" t="s">
        <v>491</v>
      </c>
      <c r="G43" s="80">
        <f>G41/F36/10^8</f>
        <v>0.00010006922855944561</v>
      </c>
      <c r="H43" s="78" t="s">
        <v>260</v>
      </c>
      <c r="I43" s="86"/>
      <c r="J43" s="70" t="s">
        <v>496</v>
      </c>
      <c r="K43" s="200">
        <f>K42/1.825216</f>
        <v>2.191521441845787</v>
      </c>
      <c r="L43" s="96" t="s">
        <v>494</v>
      </c>
      <c r="M43" s="479" t="s">
        <v>639</v>
      </c>
      <c r="N43" s="483">
        <f>N42/N41</f>
        <v>62.13711922373339</v>
      </c>
      <c r="O43" s="481" t="s">
        <v>56</v>
      </c>
      <c r="P43" s="315" t="s">
        <v>601</v>
      </c>
      <c r="Q43" s="76">
        <f>(Q35/PI())^0.5*2</f>
        <v>1.909859317102744</v>
      </c>
      <c r="R43" s="32" t="s">
        <v>56</v>
      </c>
      <c r="S43" s="621"/>
      <c r="T43" s="479"/>
      <c r="U43" s="622"/>
      <c r="V43" s="79"/>
      <c r="W43" s="93"/>
      <c r="X43" s="79"/>
    </row>
    <row r="44" spans="1:24" ht="13.5" thickBot="1">
      <c r="A44" s="26"/>
      <c r="B44" s="381"/>
      <c r="C44" s="382"/>
      <c r="D44" s="383"/>
      <c r="E44" s="313"/>
      <c r="F44" s="314"/>
      <c r="G44" s="314"/>
      <c r="H44" s="134"/>
      <c r="I44" s="103"/>
      <c r="J44" s="69"/>
      <c r="K44" s="69"/>
      <c r="L44" s="104"/>
      <c r="M44" s="480"/>
      <c r="N44" s="480"/>
      <c r="O44" s="480"/>
      <c r="P44" s="30"/>
      <c r="Q44" s="31"/>
      <c r="R44" s="32"/>
      <c r="S44" s="623" t="s">
        <v>872</v>
      </c>
      <c r="T44" s="625">
        <f>T39*TAN(T40*PI()/180)</f>
        <v>0.14735284968031978</v>
      </c>
      <c r="U44" s="622"/>
      <c r="V44" s="260"/>
      <c r="W44" s="93"/>
      <c r="X44" s="79"/>
    </row>
    <row r="45" spans="1:24" ht="13.5" thickBot="1">
      <c r="A45" s="189"/>
      <c r="B45" s="850" t="s">
        <v>939</v>
      </c>
      <c r="C45" s="850"/>
      <c r="D45" s="189"/>
      <c r="E45" s="856" t="s">
        <v>946</v>
      </c>
      <c r="F45" s="850"/>
      <c r="G45" s="850"/>
      <c r="H45" s="853"/>
      <c r="P45" s="951" t="s">
        <v>932</v>
      </c>
      <c r="Q45" s="952"/>
      <c r="R45" s="953"/>
      <c r="S45" s="627"/>
      <c r="T45" s="480"/>
      <c r="U45" s="628"/>
      <c r="V45" s="79"/>
      <c r="W45" s="93"/>
      <c r="X45" s="79"/>
    </row>
    <row r="46" spans="1:24" ht="13.5" thickBot="1">
      <c r="A46" s="31"/>
      <c r="B46" s="31"/>
      <c r="C46" s="31"/>
      <c r="D46" s="31"/>
      <c r="E46" s="30"/>
      <c r="F46" s="31"/>
      <c r="G46" s="31"/>
      <c r="H46" s="32"/>
      <c r="P46" s="30"/>
      <c r="Q46" s="31"/>
      <c r="R46" s="32"/>
      <c r="W46" s="93"/>
      <c r="X46" s="79"/>
    </row>
    <row r="47" spans="1:18" ht="12.75">
      <c r="A47" s="1001" t="s">
        <v>945</v>
      </c>
      <c r="B47" s="1002"/>
      <c r="C47" s="118">
        <v>150</v>
      </c>
      <c r="D47" s="31"/>
      <c r="E47" s="1011" t="s">
        <v>945</v>
      </c>
      <c r="F47" s="1002"/>
      <c r="G47" s="118">
        <v>150</v>
      </c>
      <c r="H47" s="32"/>
      <c r="P47" s="315" t="s">
        <v>589</v>
      </c>
      <c r="Q47" s="76">
        <f>(4*PI()*Q35)^0.5</f>
        <v>6</v>
      </c>
      <c r="R47" s="32" t="s">
        <v>56</v>
      </c>
    </row>
    <row r="48" spans="1:18" ht="13.5" thickBot="1">
      <c r="A48" s="1001" t="s">
        <v>941</v>
      </c>
      <c r="B48" s="1002"/>
      <c r="C48" s="119">
        <v>40</v>
      </c>
      <c r="D48" s="31" t="s">
        <v>457</v>
      </c>
      <c r="E48" s="1011" t="s">
        <v>941</v>
      </c>
      <c r="F48" s="1002"/>
      <c r="G48" s="119">
        <v>40</v>
      </c>
      <c r="H48" s="32" t="s">
        <v>457</v>
      </c>
      <c r="P48" s="431"/>
      <c r="Q48" s="67"/>
      <c r="R48" s="38"/>
    </row>
    <row r="49" spans="1:18" ht="12.75">
      <c r="A49" s="184"/>
      <c r="B49" s="184"/>
      <c r="C49" s="185"/>
      <c r="D49" s="31"/>
      <c r="E49" s="315"/>
      <c r="F49" s="184"/>
      <c r="G49" s="185"/>
      <c r="H49" s="32"/>
      <c r="P49" s="873" t="s">
        <v>605</v>
      </c>
      <c r="Q49" s="850"/>
      <c r="R49" s="875"/>
    </row>
    <row r="50" spans="1:18" ht="13.5" thickBot="1">
      <c r="A50" s="1001" t="s">
        <v>940</v>
      </c>
      <c r="B50" s="1001"/>
      <c r="C50" s="35" t="s">
        <v>950</v>
      </c>
      <c r="D50" s="31"/>
      <c r="E50" s="951" t="s">
        <v>947</v>
      </c>
      <c r="F50" s="952"/>
      <c r="G50" s="952"/>
      <c r="H50" s="953"/>
      <c r="P50" s="30"/>
      <c r="Q50" s="31"/>
      <c r="R50" s="32"/>
    </row>
    <row r="51" spans="1:18" ht="13.5" thickBot="1">
      <c r="A51" s="184"/>
      <c r="B51" s="184"/>
      <c r="C51" s="185"/>
      <c r="D51" s="31"/>
      <c r="E51" s="315"/>
      <c r="F51" s="184"/>
      <c r="G51" s="185"/>
      <c r="H51" s="32"/>
      <c r="P51" s="315" t="s">
        <v>931</v>
      </c>
      <c r="Q51" s="145">
        <v>6</v>
      </c>
      <c r="R51" s="32" t="s">
        <v>56</v>
      </c>
    </row>
    <row r="52" spans="1:18" ht="12.75">
      <c r="A52" s="1001" t="s">
        <v>940</v>
      </c>
      <c r="B52" s="1001"/>
      <c r="C52" s="76">
        <f>C47/COS(C48*PI()/180)</f>
        <v>195.8110933998418</v>
      </c>
      <c r="D52" s="34"/>
      <c r="E52" s="1011" t="s">
        <v>948</v>
      </c>
      <c r="F52" s="1001"/>
      <c r="G52" s="76">
        <f>2*PI()*G47</f>
        <v>942.4777960769379</v>
      </c>
      <c r="H52" s="84"/>
      <c r="P52" s="30"/>
      <c r="Q52" s="31"/>
      <c r="R52" s="32"/>
    </row>
    <row r="53" spans="1:18" ht="13.5" thickBot="1">
      <c r="A53" s="37"/>
      <c r="B53" s="37"/>
      <c r="C53" s="37"/>
      <c r="D53" s="37"/>
      <c r="E53" s="33"/>
      <c r="F53" s="34"/>
      <c r="G53" s="34"/>
      <c r="H53" s="84"/>
      <c r="P53" s="951" t="s">
        <v>933</v>
      </c>
      <c r="Q53" s="952"/>
      <c r="R53" s="953"/>
    </row>
    <row r="54" spans="1:22" ht="12.75">
      <c r="A54" s="718"/>
      <c r="B54" s="850" t="s">
        <v>942</v>
      </c>
      <c r="C54" s="850"/>
      <c r="D54" s="189"/>
      <c r="E54" s="719" t="s">
        <v>949</v>
      </c>
      <c r="F54" s="264"/>
      <c r="G54" s="720" t="s">
        <v>952</v>
      </c>
      <c r="H54" s="721"/>
      <c r="P54" s="30"/>
      <c r="Q54" s="31"/>
      <c r="R54" s="32"/>
      <c r="V54" s="517"/>
    </row>
    <row r="55" spans="1:18" ht="13.5" thickBot="1">
      <c r="A55" s="30"/>
      <c r="B55" s="31"/>
      <c r="C55" s="31"/>
      <c r="D55" s="31"/>
      <c r="E55" s="315"/>
      <c r="F55" s="184"/>
      <c r="G55" s="185"/>
      <c r="H55" s="32"/>
      <c r="P55" s="315" t="s">
        <v>587</v>
      </c>
      <c r="Q55" s="76">
        <f>Q51/(2*PI())</f>
        <v>0.954929658551372</v>
      </c>
      <c r="R55" s="32" t="s">
        <v>56</v>
      </c>
    </row>
    <row r="56" spans="1:18" ht="12.75">
      <c r="A56" s="1011" t="s">
        <v>945</v>
      </c>
      <c r="B56" s="1002"/>
      <c r="C56" s="118">
        <f>C47</f>
        <v>150</v>
      </c>
      <c r="D56" s="31"/>
      <c r="E56" s="719" t="s">
        <v>949</v>
      </c>
      <c r="F56" s="264"/>
      <c r="G56" s="76">
        <f>G47/COS(G48*PI()/180)*2*PI()</f>
        <v>1230.3173850326557</v>
      </c>
      <c r="H56" s="84"/>
      <c r="P56" s="30"/>
      <c r="Q56" s="31"/>
      <c r="R56" s="32"/>
    </row>
    <row r="57" spans="1:18" ht="13.5" thickBot="1">
      <c r="A57" s="1011" t="s">
        <v>941</v>
      </c>
      <c r="B57" s="1002"/>
      <c r="C57" s="119">
        <f>C48</f>
        <v>40</v>
      </c>
      <c r="D57" s="31" t="s">
        <v>457</v>
      </c>
      <c r="E57" s="1011"/>
      <c r="F57" s="1001"/>
      <c r="G57" s="186"/>
      <c r="H57" s="32"/>
      <c r="P57" s="951" t="s">
        <v>934</v>
      </c>
      <c r="Q57" s="952"/>
      <c r="R57" s="953"/>
    </row>
    <row r="58" spans="1:18" ht="12.75">
      <c r="A58" s="315"/>
      <c r="B58" s="184"/>
      <c r="C58" s="185"/>
      <c r="D58" s="31"/>
      <c r="E58" s="1011" t="s">
        <v>953</v>
      </c>
      <c r="F58" s="1001"/>
      <c r="G58" s="1014" t="s">
        <v>954</v>
      </c>
      <c r="H58" s="1015"/>
      <c r="P58" s="30"/>
      <c r="Q58" s="31"/>
      <c r="R58" s="32"/>
    </row>
    <row r="59" spans="1:18" ht="12.75">
      <c r="A59" s="1011" t="s">
        <v>944</v>
      </c>
      <c r="B59" s="1001"/>
      <c r="C59" s="35" t="s">
        <v>951</v>
      </c>
      <c r="D59" s="31"/>
      <c r="E59" s="1011"/>
      <c r="F59" s="1001"/>
      <c r="G59" s="35"/>
      <c r="H59" s="32"/>
      <c r="P59" s="315" t="s">
        <v>601</v>
      </c>
      <c r="Q59" s="76">
        <f>Q51/PI()</f>
        <v>1.909859317102744</v>
      </c>
      <c r="R59" s="32" t="s">
        <v>56</v>
      </c>
    </row>
    <row r="60" spans="1:18" ht="12.75">
      <c r="A60" s="315"/>
      <c r="B60" s="184"/>
      <c r="C60" s="185"/>
      <c r="D60" s="31"/>
      <c r="E60" s="1011" t="s">
        <v>953</v>
      </c>
      <c r="F60" s="1001"/>
      <c r="G60" s="185">
        <f>G52/G56*360</f>
        <v>275.7759995228321</v>
      </c>
      <c r="H60" s="32" t="s">
        <v>457</v>
      </c>
      <c r="P60" s="30"/>
      <c r="Q60" s="31"/>
      <c r="R60" s="32"/>
    </row>
    <row r="61" spans="1:18" ht="12.75">
      <c r="A61" s="1011" t="s">
        <v>944</v>
      </c>
      <c r="B61" s="1001"/>
      <c r="C61" s="76">
        <f>C56*TAN(C57*PI()/180)</f>
        <v>125.86494467659199</v>
      </c>
      <c r="D61" s="34"/>
      <c r="E61" s="1011"/>
      <c r="F61" s="1001"/>
      <c r="G61" s="76"/>
      <c r="H61" s="84"/>
      <c r="P61" s="951" t="s">
        <v>935</v>
      </c>
      <c r="Q61" s="952"/>
      <c r="R61" s="953"/>
    </row>
    <row r="62" spans="1:18" ht="13.5" thickBot="1">
      <c r="A62" s="36"/>
      <c r="B62" s="37"/>
      <c r="C62" s="37"/>
      <c r="D62" s="37"/>
      <c r="E62" s="36"/>
      <c r="F62" s="37"/>
      <c r="G62" s="37"/>
      <c r="H62" s="85"/>
      <c r="P62" s="30"/>
      <c r="Q62" s="31"/>
      <c r="R62" s="32"/>
    </row>
    <row r="63" spans="1:18" ht="12.75">
      <c r="A63" s="1013"/>
      <c r="B63" s="1013"/>
      <c r="C63" s="1013"/>
      <c r="D63" s="1013"/>
      <c r="P63" s="315" t="s">
        <v>595</v>
      </c>
      <c r="Q63" s="76">
        <f>Q51^2/(4*PI())</f>
        <v>2.864788975654116</v>
      </c>
      <c r="R63" s="32" t="s">
        <v>936</v>
      </c>
    </row>
    <row r="64" spans="1:18" ht="13.5" thickBot="1">
      <c r="A64" s="79"/>
      <c r="B64" s="79"/>
      <c r="C64" s="79"/>
      <c r="D64" s="79"/>
      <c r="P64" s="431"/>
      <c r="Q64" s="67"/>
      <c r="R64" s="38"/>
    </row>
    <row r="65" spans="1:4" ht="12.75">
      <c r="A65" s="1012"/>
      <c r="B65" s="1012"/>
      <c r="C65" s="93"/>
      <c r="D65" s="79"/>
    </row>
    <row r="66" spans="1:4" ht="12.75">
      <c r="A66" s="1012"/>
      <c r="B66" s="1012"/>
      <c r="C66" s="93"/>
      <c r="D66" s="79"/>
    </row>
    <row r="67" spans="1:4" ht="12.75">
      <c r="A67" s="261"/>
      <c r="B67" s="261"/>
      <c r="C67" s="717"/>
      <c r="D67" s="79"/>
    </row>
    <row r="68" spans="1:4" ht="12.75">
      <c r="A68" s="1012"/>
      <c r="B68" s="1012"/>
      <c r="C68" s="11"/>
      <c r="D68" s="79"/>
    </row>
    <row r="69" spans="1:4" ht="12.75">
      <c r="A69" s="261"/>
      <c r="B69" s="261"/>
      <c r="C69" s="717"/>
      <c r="D69" s="79"/>
    </row>
    <row r="70" spans="1:4" ht="12.75">
      <c r="A70" s="1012"/>
      <c r="B70" s="1012"/>
      <c r="C70" s="102"/>
      <c r="D70" s="92"/>
    </row>
    <row r="71" spans="1:4" ht="12.75">
      <c r="A71" s="92"/>
      <c r="B71" s="92"/>
      <c r="C71" s="92"/>
      <c r="D71" s="92"/>
    </row>
  </sheetData>
  <sheetProtection/>
  <mergeCells count="120">
    <mergeCell ref="E59:F59"/>
    <mergeCell ref="E61:F61"/>
    <mergeCell ref="E50:H50"/>
    <mergeCell ref="E58:F58"/>
    <mergeCell ref="G58:H58"/>
    <mergeCell ref="E60:F60"/>
    <mergeCell ref="A70:B70"/>
    <mergeCell ref="A63:D63"/>
    <mergeCell ref="E45:H45"/>
    <mergeCell ref="E47:F47"/>
    <mergeCell ref="E48:F48"/>
    <mergeCell ref="E52:F52"/>
    <mergeCell ref="E57:F57"/>
    <mergeCell ref="A65:B65"/>
    <mergeCell ref="A66:B66"/>
    <mergeCell ref="A68:B68"/>
    <mergeCell ref="A59:B59"/>
    <mergeCell ref="A61:B61"/>
    <mergeCell ref="A52:B52"/>
    <mergeCell ref="A50:B50"/>
    <mergeCell ref="B54:C54"/>
    <mergeCell ref="A56:B56"/>
    <mergeCell ref="B45:C45"/>
    <mergeCell ref="A47:B47"/>
    <mergeCell ref="A48:B48"/>
    <mergeCell ref="A57:B57"/>
    <mergeCell ref="S19:U19"/>
    <mergeCell ref="V19:X19"/>
    <mergeCell ref="S24:U24"/>
    <mergeCell ref="V24:X24"/>
    <mergeCell ref="S10:U10"/>
    <mergeCell ref="V10:X10"/>
    <mergeCell ref="S15:U15"/>
    <mergeCell ref="V15:X15"/>
    <mergeCell ref="S1:U1"/>
    <mergeCell ref="V1:X1"/>
    <mergeCell ref="S6:U6"/>
    <mergeCell ref="V6:X6"/>
    <mergeCell ref="I37:L37"/>
    <mergeCell ref="I34:J34"/>
    <mergeCell ref="K32:L32"/>
    <mergeCell ref="K33:L33"/>
    <mergeCell ref="K34:L34"/>
    <mergeCell ref="E33:H33"/>
    <mergeCell ref="A30:B30"/>
    <mergeCell ref="A31:B31"/>
    <mergeCell ref="E15:F15"/>
    <mergeCell ref="F17:G17"/>
    <mergeCell ref="A23:B23"/>
    <mergeCell ref="A27:B27"/>
    <mergeCell ref="F25:G25"/>
    <mergeCell ref="E14:H14"/>
    <mergeCell ref="A33:D33"/>
    <mergeCell ref="A35:B35"/>
    <mergeCell ref="A36:B36"/>
    <mergeCell ref="B17:C17"/>
    <mergeCell ref="A19:B19"/>
    <mergeCell ref="A28:B28"/>
    <mergeCell ref="A20:B20"/>
    <mergeCell ref="A22:B22"/>
    <mergeCell ref="A25:D25"/>
    <mergeCell ref="A42:B42"/>
    <mergeCell ref="A43:B43"/>
    <mergeCell ref="A37:D38"/>
    <mergeCell ref="A39:B39"/>
    <mergeCell ref="A40:B40"/>
    <mergeCell ref="A41:B41"/>
    <mergeCell ref="F1:G1"/>
    <mergeCell ref="E3:F3"/>
    <mergeCell ref="E4:F4"/>
    <mergeCell ref="E6:H6"/>
    <mergeCell ref="E7:F7"/>
    <mergeCell ref="F9:G9"/>
    <mergeCell ref="E11:F11"/>
    <mergeCell ref="E12:F12"/>
    <mergeCell ref="B1:C1"/>
    <mergeCell ref="A6:D6"/>
    <mergeCell ref="B9:C9"/>
    <mergeCell ref="A14:D14"/>
    <mergeCell ref="I1:L1"/>
    <mergeCell ref="I35:J35"/>
    <mergeCell ref="I25:L25"/>
    <mergeCell ref="K35:L35"/>
    <mergeCell ref="I28:L28"/>
    <mergeCell ref="I33:J33"/>
    <mergeCell ref="I32:J32"/>
    <mergeCell ref="I27:L27"/>
    <mergeCell ref="I24:L24"/>
    <mergeCell ref="K31:L31"/>
    <mergeCell ref="P1:R1"/>
    <mergeCell ref="P5:R5"/>
    <mergeCell ref="P9:R9"/>
    <mergeCell ref="P13:R13"/>
    <mergeCell ref="M16:O16"/>
    <mergeCell ref="M17:O17"/>
    <mergeCell ref="P33:R33"/>
    <mergeCell ref="P37:R37"/>
    <mergeCell ref="P17:R17"/>
    <mergeCell ref="P21:R21"/>
    <mergeCell ref="P25:R25"/>
    <mergeCell ref="P29:R29"/>
    <mergeCell ref="M37:O37"/>
    <mergeCell ref="M1:O1"/>
    <mergeCell ref="M7:O7"/>
    <mergeCell ref="M6:O6"/>
    <mergeCell ref="M12:O12"/>
    <mergeCell ref="V37:X37"/>
    <mergeCell ref="P49:R49"/>
    <mergeCell ref="P53:R53"/>
    <mergeCell ref="M22:O22"/>
    <mergeCell ref="P41:R41"/>
    <mergeCell ref="S28:U28"/>
    <mergeCell ref="V28:X28"/>
    <mergeCell ref="S33:U33"/>
    <mergeCell ref="V33:X33"/>
    <mergeCell ref="S37:U37"/>
    <mergeCell ref="P57:R57"/>
    <mergeCell ref="P45:R45"/>
    <mergeCell ref="P61:R61"/>
    <mergeCell ref="S42:U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10.7109375" style="0" customWidth="1"/>
    <col min="3" max="3" width="10.57421875" style="0" customWidth="1"/>
    <col min="4" max="4" width="10.8515625" style="0" customWidth="1"/>
    <col min="6" max="6" width="11.8515625" style="0" customWidth="1"/>
    <col min="7" max="7" width="10.28125" style="0" customWidth="1"/>
    <col min="8" max="8" width="11.57421875" style="0" customWidth="1"/>
    <col min="10" max="10" width="13.57421875" style="0" customWidth="1"/>
    <col min="11" max="11" width="13.7109375" style="0" bestFit="1" customWidth="1"/>
    <col min="12" max="12" width="12.140625" style="0" customWidth="1"/>
    <col min="13" max="13" width="11.140625" style="0" customWidth="1"/>
    <col min="15" max="15" width="11.00390625" style="0" customWidth="1"/>
    <col min="17" max="17" width="14.8515625" style="0" customWidth="1"/>
    <col min="18" max="18" width="11.57421875" style="0" customWidth="1"/>
    <col min="19" max="19" width="15.140625" style="0" customWidth="1"/>
  </cols>
  <sheetData>
    <row r="1" spans="1:19" ht="12.75">
      <c r="A1" s="808" t="s">
        <v>43</v>
      </c>
      <c r="B1" s="808"/>
      <c r="C1" s="808"/>
      <c r="D1" s="807" t="s">
        <v>42</v>
      </c>
      <c r="E1" s="808"/>
      <c r="F1" s="809"/>
      <c r="G1" s="838" t="s">
        <v>212</v>
      </c>
      <c r="H1" s="838"/>
      <c r="I1" s="839"/>
      <c r="J1" s="902" t="s">
        <v>24</v>
      </c>
      <c r="K1" s="903"/>
      <c r="L1" s="904"/>
      <c r="M1" s="861" t="s">
        <v>109</v>
      </c>
      <c r="N1" s="862"/>
      <c r="O1" s="863"/>
      <c r="P1" s="1016" t="s">
        <v>973</v>
      </c>
      <c r="Q1" s="827"/>
      <c r="R1" s="827"/>
      <c r="S1" s="1017"/>
    </row>
    <row r="2" spans="1:19" ht="13.5" thickBot="1">
      <c r="A2" s="810"/>
      <c r="B2" s="810"/>
      <c r="C2" s="810"/>
      <c r="D2" s="790"/>
      <c r="E2" s="810"/>
      <c r="F2" s="791"/>
      <c r="G2" s="16"/>
      <c r="H2" s="16"/>
      <c r="I2" s="78"/>
      <c r="J2" s="86"/>
      <c r="K2" s="68"/>
      <c r="L2" s="96"/>
      <c r="M2" s="20"/>
      <c r="N2" s="23"/>
      <c r="O2" s="82"/>
      <c r="P2" s="613"/>
      <c r="Q2" s="13"/>
      <c r="R2" s="13"/>
      <c r="S2" s="168"/>
    </row>
    <row r="3" spans="1:19" ht="13.5" thickBot="1">
      <c r="A3" s="17"/>
      <c r="B3" s="17"/>
      <c r="C3" s="17"/>
      <c r="D3" s="18"/>
      <c r="E3" s="17"/>
      <c r="F3" s="83"/>
      <c r="G3" s="323" t="s">
        <v>340</v>
      </c>
      <c r="H3" s="118">
        <f>15-3.6</f>
        <v>11.4</v>
      </c>
      <c r="I3" s="78" t="s">
        <v>3</v>
      </c>
      <c r="J3" s="87"/>
      <c r="K3" s="88"/>
      <c r="L3" s="96"/>
      <c r="M3" s="20"/>
      <c r="N3" s="23"/>
      <c r="O3" s="82"/>
      <c r="P3" s="613"/>
      <c r="Q3" s="725" t="s">
        <v>333</v>
      </c>
      <c r="R3" s="118">
        <v>433.6</v>
      </c>
      <c r="S3" s="168" t="s">
        <v>22</v>
      </c>
    </row>
    <row r="4" spans="1:19" ht="13.5" thickBot="1">
      <c r="A4" s="356" t="s">
        <v>340</v>
      </c>
      <c r="B4" s="118">
        <v>0.666666666</v>
      </c>
      <c r="C4" s="53" t="s">
        <v>23</v>
      </c>
      <c r="D4" s="312" t="s">
        <v>339</v>
      </c>
      <c r="E4" s="146">
        <v>8.5E-08</v>
      </c>
      <c r="F4" s="296" t="s">
        <v>36</v>
      </c>
      <c r="G4" s="323" t="s">
        <v>339</v>
      </c>
      <c r="H4" s="119">
        <v>0.053</v>
      </c>
      <c r="I4" s="78" t="s">
        <v>34</v>
      </c>
      <c r="J4" s="180" t="s">
        <v>340</v>
      </c>
      <c r="K4" s="147">
        <v>2</v>
      </c>
      <c r="L4" s="308" t="s">
        <v>25</v>
      </c>
      <c r="M4" s="20"/>
      <c r="N4" s="23"/>
      <c r="O4" s="82"/>
      <c r="P4" s="613"/>
      <c r="Q4" s="725" t="s">
        <v>334</v>
      </c>
      <c r="R4" s="141">
        <v>220</v>
      </c>
      <c r="S4" s="168" t="s">
        <v>22</v>
      </c>
    </row>
    <row r="5" spans="1:19" ht="13.5" thickBot="1">
      <c r="A5" s="356" t="s">
        <v>121</v>
      </c>
      <c r="B5" s="119">
        <v>50</v>
      </c>
      <c r="C5" s="53" t="s">
        <v>22</v>
      </c>
      <c r="D5" s="312" t="s">
        <v>121</v>
      </c>
      <c r="E5" s="119">
        <v>120000</v>
      </c>
      <c r="F5" s="296" t="s">
        <v>22</v>
      </c>
      <c r="G5" s="16"/>
      <c r="H5" s="16"/>
      <c r="I5" s="78"/>
      <c r="J5" s="270"/>
      <c r="K5" s="88"/>
      <c r="L5" s="96"/>
      <c r="M5" s="183" t="s">
        <v>340</v>
      </c>
      <c r="N5" s="118">
        <f>3.7/2</f>
        <v>1.85</v>
      </c>
      <c r="O5" s="22" t="s">
        <v>3</v>
      </c>
      <c r="P5" s="613"/>
      <c r="Q5" s="725" t="s">
        <v>843</v>
      </c>
      <c r="R5" s="141">
        <v>1.25</v>
      </c>
      <c r="S5" s="306" t="s">
        <v>3</v>
      </c>
    </row>
    <row r="6" spans="1:19" ht="13.5" thickBot="1">
      <c r="A6" s="17"/>
      <c r="B6" s="528"/>
      <c r="C6" s="528"/>
      <c r="D6" s="18"/>
      <c r="E6" s="528"/>
      <c r="F6" s="296"/>
      <c r="G6" s="840" t="s">
        <v>231</v>
      </c>
      <c r="H6" s="841"/>
      <c r="I6" s="842"/>
      <c r="J6" s="270"/>
      <c r="K6" s="89"/>
      <c r="L6" s="96"/>
      <c r="M6" s="183" t="s">
        <v>121</v>
      </c>
      <c r="N6" s="119">
        <v>330</v>
      </c>
      <c r="O6" s="22" t="s">
        <v>22</v>
      </c>
      <c r="P6" s="613"/>
      <c r="Q6" s="725" t="s">
        <v>794</v>
      </c>
      <c r="R6" s="141">
        <v>30</v>
      </c>
      <c r="S6" s="611" t="s">
        <v>457</v>
      </c>
    </row>
    <row r="7" spans="1:19" ht="12.75">
      <c r="A7" s="803" t="s">
        <v>314</v>
      </c>
      <c r="B7" s="803"/>
      <c r="C7" s="842"/>
      <c r="D7" s="804" t="s">
        <v>37</v>
      </c>
      <c r="E7" s="805"/>
      <c r="F7" s="806"/>
      <c r="G7" s="323" t="s">
        <v>0</v>
      </c>
      <c r="H7" s="80">
        <f>H3*H4</f>
        <v>0.6042</v>
      </c>
      <c r="I7" s="78" t="s">
        <v>1</v>
      </c>
      <c r="J7" s="87"/>
      <c r="K7" s="88"/>
      <c r="L7" s="96"/>
      <c r="M7" s="183"/>
      <c r="N7" s="181"/>
      <c r="O7" s="350"/>
      <c r="P7" s="613"/>
      <c r="Q7" s="725" t="s">
        <v>844</v>
      </c>
      <c r="R7" s="141">
        <v>220</v>
      </c>
      <c r="S7" s="437" t="s">
        <v>797</v>
      </c>
    </row>
    <row r="8" spans="1:19" ht="13.5" thickBot="1">
      <c r="A8" s="356" t="s">
        <v>41</v>
      </c>
      <c r="B8" s="529">
        <f>B4/B5</f>
        <v>0.01333333332</v>
      </c>
      <c r="C8" s="53" t="s">
        <v>34</v>
      </c>
      <c r="D8" s="312" t="s">
        <v>0</v>
      </c>
      <c r="E8" s="80">
        <f>E4^2*E5</f>
        <v>8.669999999999999E-10</v>
      </c>
      <c r="F8" s="296" t="s">
        <v>1</v>
      </c>
      <c r="G8" s="314"/>
      <c r="H8" s="314"/>
      <c r="I8" s="134"/>
      <c r="J8" s="905" t="s">
        <v>158</v>
      </c>
      <c r="K8" s="906"/>
      <c r="L8" s="907"/>
      <c r="M8" s="996" t="s">
        <v>399</v>
      </c>
      <c r="N8" s="843"/>
      <c r="O8" s="855"/>
      <c r="P8" s="613"/>
      <c r="Q8" s="725" t="s">
        <v>341</v>
      </c>
      <c r="R8" s="141">
        <v>15</v>
      </c>
      <c r="S8" s="168" t="s">
        <v>3</v>
      </c>
    </row>
    <row r="9" spans="1:19" ht="12.75">
      <c r="A9" s="17"/>
      <c r="B9" s="17"/>
      <c r="C9" s="53"/>
      <c r="D9" s="15"/>
      <c r="E9" s="16"/>
      <c r="F9" s="78"/>
      <c r="G9" s="838" t="s">
        <v>226</v>
      </c>
      <c r="H9" s="838"/>
      <c r="I9" s="839"/>
      <c r="J9" s="87"/>
      <c r="K9" s="88"/>
      <c r="L9" s="96"/>
      <c r="M9" s="183"/>
      <c r="N9" s="181"/>
      <c r="O9" s="22"/>
      <c r="P9" s="613"/>
      <c r="Q9" s="725" t="s">
        <v>845</v>
      </c>
      <c r="R9" s="141">
        <v>0.053</v>
      </c>
      <c r="S9" s="168" t="s">
        <v>34</v>
      </c>
    </row>
    <row r="10" spans="1:19" ht="13.5" thickBot="1">
      <c r="A10" s="805" t="s">
        <v>26</v>
      </c>
      <c r="B10" s="805"/>
      <c r="C10" s="806"/>
      <c r="D10" s="840" t="s">
        <v>35</v>
      </c>
      <c r="E10" s="841"/>
      <c r="F10" s="842"/>
      <c r="G10" s="16"/>
      <c r="H10" s="16"/>
      <c r="I10" s="78"/>
      <c r="J10" s="86" t="s">
        <v>53</v>
      </c>
      <c r="K10" s="114">
        <f>K4/(2*2^0.5)</f>
        <v>0.7071067811865475</v>
      </c>
      <c r="L10" s="308" t="s">
        <v>3</v>
      </c>
      <c r="M10" s="183" t="s">
        <v>41</v>
      </c>
      <c r="N10" s="41">
        <f>N5/N6</f>
        <v>0.005606060606060607</v>
      </c>
      <c r="O10" s="22" t="s">
        <v>34</v>
      </c>
      <c r="P10" s="613"/>
      <c r="Q10" s="725" t="s">
        <v>798</v>
      </c>
      <c r="R10" s="141">
        <v>1</v>
      </c>
      <c r="S10" s="437" t="s">
        <v>797</v>
      </c>
    </row>
    <row r="11" spans="1:19" ht="13.5" thickBot="1">
      <c r="A11" s="356" t="s">
        <v>0</v>
      </c>
      <c r="B11" s="80">
        <f>B4^2/B5</f>
        <v>0.008888888871111111</v>
      </c>
      <c r="C11" s="53" t="s">
        <v>1</v>
      </c>
      <c r="D11" s="352" t="s">
        <v>44</v>
      </c>
      <c r="E11" s="530">
        <f>E8/E4</f>
        <v>0.010199999999999999</v>
      </c>
      <c r="F11" s="78" t="s">
        <v>3</v>
      </c>
      <c r="G11" s="323" t="s">
        <v>340</v>
      </c>
      <c r="H11" s="118">
        <f>13.8-3</f>
        <v>10.8</v>
      </c>
      <c r="I11" s="78" t="s">
        <v>3</v>
      </c>
      <c r="J11" s="87"/>
      <c r="K11" s="88"/>
      <c r="L11" s="96"/>
      <c r="M11" s="20"/>
      <c r="N11" s="21"/>
      <c r="O11" s="22"/>
      <c r="P11" s="613"/>
      <c r="Q11" s="724" t="s">
        <v>901</v>
      </c>
      <c r="R11" s="119">
        <v>125</v>
      </c>
      <c r="S11" s="654" t="s">
        <v>795</v>
      </c>
    </row>
    <row r="12" spans="1:19" ht="13.5" thickBot="1">
      <c r="A12" s="17"/>
      <c r="B12" s="17"/>
      <c r="C12" s="17"/>
      <c r="D12" s="18"/>
      <c r="E12" s="17"/>
      <c r="F12" s="83"/>
      <c r="G12" s="323" t="s">
        <v>394</v>
      </c>
      <c r="H12" s="119">
        <v>2.5</v>
      </c>
      <c r="I12" s="78" t="s">
        <v>1</v>
      </c>
      <c r="J12" s="90"/>
      <c r="K12" s="91"/>
      <c r="L12" s="104"/>
      <c r="M12" s="26"/>
      <c r="N12" s="27"/>
      <c r="O12" s="28"/>
      <c r="P12" s="613"/>
      <c r="Q12" s="613"/>
      <c r="R12" s="613"/>
      <c r="S12" s="614"/>
    </row>
    <row r="13" spans="1:19" ht="13.5" thickBot="1">
      <c r="A13" s="16"/>
      <c r="B13" s="16"/>
      <c r="C13" s="16"/>
      <c r="D13" s="313"/>
      <c r="E13" s="314"/>
      <c r="F13" s="134"/>
      <c r="G13" s="16"/>
      <c r="H13" s="16"/>
      <c r="I13" s="78"/>
      <c r="J13" s="899" t="s">
        <v>52</v>
      </c>
      <c r="K13" s="900"/>
      <c r="L13" s="901"/>
      <c r="M13" s="861" t="s">
        <v>110</v>
      </c>
      <c r="N13" s="862"/>
      <c r="O13" s="863"/>
      <c r="P13" s="613"/>
      <c r="Q13" s="1032" t="s">
        <v>610</v>
      </c>
      <c r="R13" s="1032"/>
      <c r="S13" s="1033"/>
    </row>
    <row r="14" spans="1:19" ht="12.75">
      <c r="A14" s="807" t="s">
        <v>46</v>
      </c>
      <c r="B14" s="808"/>
      <c r="C14" s="808"/>
      <c r="D14" s="807" t="s">
        <v>45</v>
      </c>
      <c r="E14" s="808"/>
      <c r="F14" s="809"/>
      <c r="G14" s="840" t="s">
        <v>230</v>
      </c>
      <c r="H14" s="841"/>
      <c r="I14" s="842"/>
      <c r="J14" s="86"/>
      <c r="K14" s="68"/>
      <c r="L14" s="96"/>
      <c r="M14" s="20"/>
      <c r="N14" s="23"/>
      <c r="O14" s="82"/>
      <c r="P14" s="613"/>
      <c r="Q14" s="613"/>
      <c r="R14" s="613"/>
      <c r="S14" s="614"/>
    </row>
    <row r="15" spans="1:19" ht="13.5" thickBot="1">
      <c r="A15" s="531"/>
      <c r="B15" s="532"/>
      <c r="C15" s="532"/>
      <c r="D15" s="531"/>
      <c r="E15" s="532"/>
      <c r="F15" s="533"/>
      <c r="G15" s="352" t="s">
        <v>41</v>
      </c>
      <c r="H15" s="80">
        <f>H12/H11</f>
        <v>0.23148148148148145</v>
      </c>
      <c r="I15" s="78" t="s">
        <v>34</v>
      </c>
      <c r="J15" s="87"/>
      <c r="K15" s="88"/>
      <c r="L15" s="96"/>
      <c r="M15" s="20"/>
      <c r="N15" s="23"/>
      <c r="O15" s="82"/>
      <c r="P15" s="613"/>
      <c r="Q15" s="725" t="s">
        <v>609</v>
      </c>
      <c r="R15" s="615">
        <f>R5*(1+R3/R4)</f>
        <v>3.7136363636363634</v>
      </c>
      <c r="S15" s="614" t="s">
        <v>3</v>
      </c>
    </row>
    <row r="16" spans="1:19" ht="13.5" thickBot="1">
      <c r="A16" s="18"/>
      <c r="B16" s="17"/>
      <c r="C16" s="17"/>
      <c r="D16" s="18"/>
      <c r="E16" s="17"/>
      <c r="F16" s="83"/>
      <c r="G16" s="313"/>
      <c r="H16" s="314"/>
      <c r="I16" s="134"/>
      <c r="J16" s="180" t="s">
        <v>340</v>
      </c>
      <c r="K16" s="117">
        <f>B22</f>
        <v>7.0710678118654755</v>
      </c>
      <c r="L16" s="308" t="s">
        <v>23</v>
      </c>
      <c r="M16" s="20"/>
      <c r="N16" s="23"/>
      <c r="O16" s="82"/>
      <c r="P16" s="613"/>
      <c r="Q16" s="725" t="s">
        <v>993</v>
      </c>
      <c r="R16" s="742">
        <f>(R8-R15)*R9</f>
        <v>0.5981772727272727</v>
      </c>
      <c r="S16" s="614" t="s">
        <v>1</v>
      </c>
    </row>
    <row r="17" spans="1:19" ht="12.75">
      <c r="A17" s="312" t="s">
        <v>394</v>
      </c>
      <c r="B17" s="148">
        <v>1</v>
      </c>
      <c r="C17" s="53" t="s">
        <v>1</v>
      </c>
      <c r="D17" s="312" t="s">
        <v>394</v>
      </c>
      <c r="E17" s="148">
        <v>325</v>
      </c>
      <c r="F17" s="296" t="s">
        <v>1</v>
      </c>
      <c r="G17" s="837" t="s">
        <v>227</v>
      </c>
      <c r="H17" s="838"/>
      <c r="I17" s="839"/>
      <c r="J17" s="270"/>
      <c r="K17" s="88"/>
      <c r="L17" s="96"/>
      <c r="M17" s="183" t="s">
        <v>339</v>
      </c>
      <c r="N17" s="118">
        <v>1.4</v>
      </c>
      <c r="O17" s="22" t="s">
        <v>34</v>
      </c>
      <c r="P17" s="613"/>
      <c r="Q17" s="725" t="s">
        <v>846</v>
      </c>
      <c r="R17" s="655">
        <f>R9*(R8-R15)*(R7+R10)+R6</f>
        <v>162.19717727272726</v>
      </c>
      <c r="S17" s="616" t="s">
        <v>457</v>
      </c>
    </row>
    <row r="18" spans="1:19" ht="13.5" thickBot="1">
      <c r="A18" s="312" t="s">
        <v>121</v>
      </c>
      <c r="B18" s="119">
        <v>50</v>
      </c>
      <c r="C18" s="53" t="s">
        <v>22</v>
      </c>
      <c r="D18" s="312" t="s">
        <v>121</v>
      </c>
      <c r="E18" s="119">
        <v>600</v>
      </c>
      <c r="F18" s="296" t="s">
        <v>22</v>
      </c>
      <c r="G18" s="15"/>
      <c r="H18" s="16"/>
      <c r="I18" s="78"/>
      <c r="J18" s="270"/>
      <c r="K18" s="89"/>
      <c r="L18" s="96"/>
      <c r="M18" s="183" t="s">
        <v>121</v>
      </c>
      <c r="N18" s="119">
        <v>96</v>
      </c>
      <c r="O18" s="22" t="s">
        <v>22</v>
      </c>
      <c r="P18" s="613"/>
      <c r="Q18" s="726"/>
      <c r="R18" s="656" t="str">
        <f>IF(R17&gt;R11," TOO HOT!!","")</f>
        <v> TOO HOT!!</v>
      </c>
      <c r="S18" s="618"/>
    </row>
    <row r="19" spans="1:19" ht="12.75">
      <c r="A19" s="18"/>
      <c r="B19" s="528"/>
      <c r="C19" s="53"/>
      <c r="D19" s="18"/>
      <c r="E19" s="528"/>
      <c r="F19" s="296"/>
      <c r="G19" s="352" t="s">
        <v>339</v>
      </c>
      <c r="H19" s="118">
        <f>H4</f>
        <v>0.053</v>
      </c>
      <c r="I19" s="78" t="s">
        <v>34</v>
      </c>
      <c r="J19" s="87"/>
      <c r="K19" s="88"/>
      <c r="L19" s="96"/>
      <c r="M19" s="183"/>
      <c r="N19" s="181"/>
      <c r="O19" s="350"/>
      <c r="P19" s="816" t="s">
        <v>474</v>
      </c>
      <c r="Q19" s="817"/>
      <c r="R19" s="817"/>
      <c r="S19" s="818"/>
    </row>
    <row r="20" spans="1:19" ht="13.5" thickBot="1">
      <c r="A20" s="804" t="s">
        <v>89</v>
      </c>
      <c r="B20" s="805"/>
      <c r="C20" s="806"/>
      <c r="D20" s="804" t="s">
        <v>90</v>
      </c>
      <c r="E20" s="805"/>
      <c r="F20" s="806"/>
      <c r="G20" s="352" t="s">
        <v>394</v>
      </c>
      <c r="H20" s="119">
        <f>H7</f>
        <v>0.6042</v>
      </c>
      <c r="I20" s="78" t="s">
        <v>1</v>
      </c>
      <c r="J20" s="905" t="s">
        <v>157</v>
      </c>
      <c r="K20" s="906"/>
      <c r="L20" s="907"/>
      <c r="M20" s="996" t="s">
        <v>113</v>
      </c>
      <c r="N20" s="843"/>
      <c r="O20" s="855"/>
      <c r="P20" s="330"/>
      <c r="Q20" s="741"/>
      <c r="R20" s="287"/>
      <c r="S20" s="391"/>
    </row>
    <row r="21" spans="1:19" ht="12.75">
      <c r="A21" s="18"/>
      <c r="B21" s="17"/>
      <c r="C21" s="53"/>
      <c r="D21" s="18"/>
      <c r="E21" s="17"/>
      <c r="F21" s="296"/>
      <c r="G21" s="15"/>
      <c r="H21" s="16"/>
      <c r="I21" s="78"/>
      <c r="J21" s="87"/>
      <c r="K21" s="88"/>
      <c r="L21" s="96"/>
      <c r="M21" s="183"/>
      <c r="N21" s="181"/>
      <c r="O21" s="22"/>
      <c r="P21" s="330"/>
      <c r="Q21" s="79"/>
      <c r="R21" s="287"/>
      <c r="S21" s="391"/>
    </row>
    <row r="22" spans="1:19" ht="12.75">
      <c r="A22" s="312" t="s">
        <v>38</v>
      </c>
      <c r="B22" s="80">
        <f>(B17*B18)^0.5</f>
        <v>7.0710678118654755</v>
      </c>
      <c r="C22" s="53" t="s">
        <v>3</v>
      </c>
      <c r="D22" s="312" t="s">
        <v>41</v>
      </c>
      <c r="E22" s="80">
        <f>(E17/E18)^0.5</f>
        <v>0.7359800721939872</v>
      </c>
      <c r="F22" s="296" t="s">
        <v>34</v>
      </c>
      <c r="G22" s="840" t="s">
        <v>229</v>
      </c>
      <c r="H22" s="841"/>
      <c r="I22" s="842"/>
      <c r="J22" s="179" t="s">
        <v>54</v>
      </c>
      <c r="K22" s="114">
        <f>K16*(2*2^0.5)</f>
        <v>20.000000000000004</v>
      </c>
      <c r="L22" s="308" t="s">
        <v>3</v>
      </c>
      <c r="M22" s="183" t="s">
        <v>38</v>
      </c>
      <c r="N22" s="41">
        <f>N17*N18</f>
        <v>134.39999999999998</v>
      </c>
      <c r="O22" s="22" t="s">
        <v>3</v>
      </c>
      <c r="P22" s="330"/>
      <c r="Q22" s="79"/>
      <c r="R22" s="287"/>
      <c r="S22" s="391"/>
    </row>
    <row r="23" spans="1:19" ht="12.75">
      <c r="A23" s="18"/>
      <c r="B23" s="17"/>
      <c r="C23" s="83"/>
      <c r="D23" s="18"/>
      <c r="E23" s="17"/>
      <c r="F23" s="83"/>
      <c r="G23" s="352" t="s">
        <v>38</v>
      </c>
      <c r="H23" s="80">
        <f>H20/H19</f>
        <v>11.4</v>
      </c>
      <c r="I23" s="78" t="s">
        <v>3</v>
      </c>
      <c r="J23" s="87"/>
      <c r="K23" s="88"/>
      <c r="L23" s="96"/>
      <c r="M23" s="20"/>
      <c r="N23" s="21"/>
      <c r="O23" s="22"/>
      <c r="P23" s="330"/>
      <c r="Q23" s="79"/>
      <c r="R23" s="287"/>
      <c r="S23" s="391"/>
    </row>
    <row r="24" spans="1:19" ht="13.5" thickBot="1">
      <c r="A24" s="313"/>
      <c r="B24" s="314"/>
      <c r="C24" s="314"/>
      <c r="D24" s="313"/>
      <c r="E24" s="314"/>
      <c r="F24" s="134"/>
      <c r="G24" s="428"/>
      <c r="H24" s="534"/>
      <c r="I24" s="535"/>
      <c r="J24" s="90"/>
      <c r="K24" s="91"/>
      <c r="L24" s="104"/>
      <c r="M24" s="26"/>
      <c r="N24" s="27"/>
      <c r="O24" s="28"/>
      <c r="P24" s="330"/>
      <c r="Q24" s="79"/>
      <c r="R24" s="287"/>
      <c r="S24" s="391"/>
    </row>
    <row r="25" spans="1:19" ht="12.75">
      <c r="A25" s="155"/>
      <c r="B25" s="900" t="s">
        <v>209</v>
      </c>
      <c r="C25" s="900"/>
      <c r="D25" s="158"/>
      <c r="E25" s="1026" t="s">
        <v>778</v>
      </c>
      <c r="F25" s="1027"/>
      <c r="G25" s="1027"/>
      <c r="H25" s="1027"/>
      <c r="I25" s="1028"/>
      <c r="J25" s="1026" t="s">
        <v>915</v>
      </c>
      <c r="K25" s="1027"/>
      <c r="L25" s="1028"/>
      <c r="M25" s="861" t="s">
        <v>111</v>
      </c>
      <c r="N25" s="862"/>
      <c r="O25" s="863"/>
      <c r="P25" s="500"/>
      <c r="Q25" s="79"/>
      <c r="R25" s="287"/>
      <c r="S25" s="391"/>
    </row>
    <row r="26" spans="1:19" ht="13.5" thickBot="1">
      <c r="A26" s="86"/>
      <c r="B26" s="68"/>
      <c r="C26" s="68"/>
      <c r="D26" s="96"/>
      <c r="E26" s="484"/>
      <c r="F26" s="582"/>
      <c r="G26" s="489"/>
      <c r="H26" s="485"/>
      <c r="I26" s="486"/>
      <c r="J26" s="675"/>
      <c r="K26" s="676"/>
      <c r="L26" s="677"/>
      <c r="M26" s="20"/>
      <c r="N26" s="23"/>
      <c r="O26" s="82"/>
      <c r="P26" s="500"/>
      <c r="Q26" s="79"/>
      <c r="R26" s="287"/>
      <c r="S26" s="391"/>
    </row>
    <row r="27" spans="1:19" ht="13.5" thickBot="1">
      <c r="A27" s="988" t="s">
        <v>395</v>
      </c>
      <c r="B27" s="989"/>
      <c r="C27" s="118">
        <v>483</v>
      </c>
      <c r="D27" s="96" t="s">
        <v>207</v>
      </c>
      <c r="E27" s="1029" t="s">
        <v>779</v>
      </c>
      <c r="F27" s="1030"/>
      <c r="G27" s="145">
        <v>240</v>
      </c>
      <c r="H27" s="485" t="s">
        <v>23</v>
      </c>
      <c r="I27" s="486"/>
      <c r="J27" s="678" t="s">
        <v>909</v>
      </c>
      <c r="K27" s="147">
        <v>115</v>
      </c>
      <c r="L27" s="485" t="s">
        <v>23</v>
      </c>
      <c r="M27" s="20"/>
      <c r="N27" s="23"/>
      <c r="O27" s="82"/>
      <c r="P27" s="500"/>
      <c r="Q27" s="79"/>
      <c r="R27" s="287"/>
      <c r="S27" s="391"/>
    </row>
    <row r="28" spans="1:19" ht="13.5" thickBot="1">
      <c r="A28" s="988" t="s">
        <v>396</v>
      </c>
      <c r="B28" s="989"/>
      <c r="C28" s="141">
        <v>376</v>
      </c>
      <c r="D28" s="96" t="s">
        <v>207</v>
      </c>
      <c r="E28" s="484"/>
      <c r="F28" s="485"/>
      <c r="G28" s="485"/>
      <c r="H28" s="485"/>
      <c r="I28" s="486"/>
      <c r="J28" s="678"/>
      <c r="K28" s="676"/>
      <c r="L28" s="679"/>
      <c r="M28" s="20"/>
      <c r="N28" s="23"/>
      <c r="O28" s="82"/>
      <c r="P28" s="500"/>
      <c r="Q28" s="79"/>
      <c r="R28" s="287"/>
      <c r="S28" s="391"/>
    </row>
    <row r="29" spans="1:19" ht="12.75">
      <c r="A29" s="1024" t="s">
        <v>398</v>
      </c>
      <c r="B29" s="1025"/>
      <c r="C29" s="141">
        <v>25.03</v>
      </c>
      <c r="D29" s="98" t="s">
        <v>23</v>
      </c>
      <c r="E29" s="1029" t="s">
        <v>780</v>
      </c>
      <c r="F29" s="1030"/>
      <c r="G29" s="485" t="s">
        <v>781</v>
      </c>
      <c r="H29" s="485"/>
      <c r="I29" s="486"/>
      <c r="J29" s="678" t="s">
        <v>782</v>
      </c>
      <c r="K29" s="676"/>
      <c r="L29" s="677"/>
      <c r="M29" s="183" t="s">
        <v>340</v>
      </c>
      <c r="N29" s="118">
        <f>3.7/2</f>
        <v>1.85</v>
      </c>
      <c r="O29" s="22" t="s">
        <v>3</v>
      </c>
      <c r="P29" s="330"/>
      <c r="Q29" s="79"/>
      <c r="R29" s="287"/>
      <c r="S29" s="391"/>
    </row>
    <row r="30" spans="1:19" ht="13.5" thickBot="1">
      <c r="A30" s="1024" t="s">
        <v>397</v>
      </c>
      <c r="B30" s="1025"/>
      <c r="C30" s="119">
        <v>1.1</v>
      </c>
      <c r="D30" s="98" t="s">
        <v>3</v>
      </c>
      <c r="E30" s="484"/>
      <c r="F30" s="582"/>
      <c r="G30" s="489"/>
      <c r="H30" s="485"/>
      <c r="I30" s="486"/>
      <c r="J30" s="675"/>
      <c r="K30" s="680" t="s">
        <v>910</v>
      </c>
      <c r="L30" s="677"/>
      <c r="M30" s="183" t="s">
        <v>339</v>
      </c>
      <c r="N30" s="119">
        <v>0.005</v>
      </c>
      <c r="O30" s="22" t="s">
        <v>34</v>
      </c>
      <c r="P30" s="330"/>
      <c r="Q30" s="79"/>
      <c r="R30" s="287"/>
      <c r="S30" s="391"/>
    </row>
    <row r="31" spans="1:19" ht="12.75">
      <c r="A31" s="180"/>
      <c r="B31" s="71"/>
      <c r="C31" s="193"/>
      <c r="D31" s="307"/>
      <c r="E31" s="1029" t="s">
        <v>782</v>
      </c>
      <c r="F31" s="1030"/>
      <c r="G31" s="583">
        <f>G27*3^0.5</f>
        <v>415.6921938165305</v>
      </c>
      <c r="H31" s="485" t="s">
        <v>23</v>
      </c>
      <c r="I31" s="486"/>
      <c r="J31" s="678" t="s">
        <v>782</v>
      </c>
      <c r="K31" s="676"/>
      <c r="L31" s="679"/>
      <c r="M31" s="183"/>
      <c r="N31" s="181"/>
      <c r="O31" s="350"/>
      <c r="P31" s="330"/>
      <c r="Q31" s="79"/>
      <c r="R31" s="287"/>
      <c r="S31" s="391"/>
    </row>
    <row r="32" spans="1:19" ht="12.75">
      <c r="A32" s="1024" t="s">
        <v>208</v>
      </c>
      <c r="B32" s="1025"/>
      <c r="C32" s="151">
        <f>C29*(C28/C27)</f>
        <v>19.48505175983437</v>
      </c>
      <c r="D32" s="98" t="s">
        <v>23</v>
      </c>
      <c r="E32" s="484"/>
      <c r="F32" s="582"/>
      <c r="G32" s="485"/>
      <c r="H32" s="485"/>
      <c r="I32" s="486"/>
      <c r="J32" s="678"/>
      <c r="K32" s="681">
        <f>K27*2</f>
        <v>230</v>
      </c>
      <c r="L32" s="679" t="s">
        <v>23</v>
      </c>
      <c r="M32" s="996" t="s">
        <v>112</v>
      </c>
      <c r="N32" s="843"/>
      <c r="O32" s="855"/>
      <c r="P32" s="330"/>
      <c r="Q32" s="79"/>
      <c r="R32" s="287"/>
      <c r="S32" s="391"/>
    </row>
    <row r="33" spans="1:19" ht="12.75">
      <c r="A33" s="1024" t="s">
        <v>208</v>
      </c>
      <c r="B33" s="1025"/>
      <c r="C33" s="151">
        <f>C32*1.414</f>
        <v>27.551863188405797</v>
      </c>
      <c r="D33" s="98" t="s">
        <v>25</v>
      </c>
      <c r="E33" s="484"/>
      <c r="F33" s="485"/>
      <c r="G33" s="485"/>
      <c r="H33" s="485"/>
      <c r="I33" s="486"/>
      <c r="J33" s="678"/>
      <c r="K33" s="676"/>
      <c r="L33" s="677"/>
      <c r="M33" s="183"/>
      <c r="N33" s="181"/>
      <c r="O33" s="22"/>
      <c r="P33" s="330"/>
      <c r="Q33" s="79"/>
      <c r="R33" s="287"/>
      <c r="S33" s="391"/>
    </row>
    <row r="34" spans="1:19" ht="12.75">
      <c r="A34" s="988" t="s">
        <v>210</v>
      </c>
      <c r="B34" s="989"/>
      <c r="C34" s="151">
        <f>C33-(2*C30)</f>
        <v>25.351863188405797</v>
      </c>
      <c r="D34" s="98" t="s">
        <v>211</v>
      </c>
      <c r="E34" s="484"/>
      <c r="F34" s="485"/>
      <c r="G34" s="485"/>
      <c r="H34" s="485"/>
      <c r="I34" s="486"/>
      <c r="J34" s="675"/>
      <c r="K34" s="676"/>
      <c r="L34" s="677"/>
      <c r="M34" s="349" t="s">
        <v>69</v>
      </c>
      <c r="N34" s="41">
        <f>N29/N30</f>
        <v>370</v>
      </c>
      <c r="O34" s="22" t="s">
        <v>22</v>
      </c>
      <c r="P34" s="330"/>
      <c r="Q34" s="79"/>
      <c r="R34" s="287"/>
      <c r="S34" s="391"/>
    </row>
    <row r="35" spans="1:19" ht="13.5" thickBot="1">
      <c r="A35" s="103"/>
      <c r="B35" s="69"/>
      <c r="C35" s="69"/>
      <c r="D35" s="104"/>
      <c r="E35" s="584"/>
      <c r="F35" s="585"/>
      <c r="G35" s="585"/>
      <c r="H35" s="585"/>
      <c r="I35" s="586"/>
      <c r="J35" s="682"/>
      <c r="K35" s="683"/>
      <c r="L35" s="684"/>
      <c r="M35" s="26"/>
      <c r="N35" s="27"/>
      <c r="O35" s="28"/>
      <c r="P35" s="441"/>
      <c r="Q35" s="390"/>
      <c r="R35" s="393"/>
      <c r="S35" s="394"/>
    </row>
    <row r="36" spans="1:19" ht="12.75">
      <c r="A36" s="856" t="s">
        <v>783</v>
      </c>
      <c r="B36" s="850"/>
      <c r="C36" s="850"/>
      <c r="D36" s="850"/>
      <c r="E36" s="850"/>
      <c r="F36" s="850"/>
      <c r="G36" s="850"/>
      <c r="H36" s="853"/>
      <c r="I36" s="856" t="s">
        <v>784</v>
      </c>
      <c r="J36" s="850"/>
      <c r="K36" s="850"/>
      <c r="L36" s="850"/>
      <c r="M36" s="850"/>
      <c r="N36" s="850"/>
      <c r="O36" s="850"/>
      <c r="P36" s="847"/>
      <c r="Q36" s="870"/>
      <c r="R36" s="870"/>
      <c r="S36" s="870"/>
    </row>
    <row r="37" spans="1:19" ht="13.5" thickBot="1">
      <c r="A37" s="470"/>
      <c r="B37" s="473"/>
      <c r="C37" s="473"/>
      <c r="D37" s="473"/>
      <c r="E37" s="473"/>
      <c r="F37" s="473"/>
      <c r="G37" s="473"/>
      <c r="H37" s="472"/>
      <c r="I37" s="470"/>
      <c r="J37" s="473"/>
      <c r="K37" s="473"/>
      <c r="L37" s="473"/>
      <c r="M37" s="473"/>
      <c r="N37" s="473"/>
      <c r="O37" s="473"/>
      <c r="P37" s="472"/>
      <c r="Q37" s="79"/>
      <c r="R37" s="79"/>
      <c r="S37" s="79"/>
    </row>
    <row r="38" spans="1:19" ht="12.75">
      <c r="A38" s="1018" t="s">
        <v>785</v>
      </c>
      <c r="B38" s="1021"/>
      <c r="C38" s="118">
        <v>28</v>
      </c>
      <c r="D38" s="473" t="s">
        <v>3</v>
      </c>
      <c r="E38" s="473"/>
      <c r="F38" s="473"/>
      <c r="G38" s="473"/>
      <c r="H38" s="472"/>
      <c r="I38" s="1018" t="s">
        <v>785</v>
      </c>
      <c r="J38" s="1021"/>
      <c r="K38" s="118">
        <v>24</v>
      </c>
      <c r="L38" s="473" t="s">
        <v>3</v>
      </c>
      <c r="M38" s="473"/>
      <c r="N38" s="473"/>
      <c r="O38" s="473"/>
      <c r="P38" s="472"/>
      <c r="Q38" s="261"/>
      <c r="R38" s="93"/>
      <c r="S38" s="79"/>
    </row>
    <row r="39" spans="1:19" ht="12.75">
      <c r="A39" s="1018" t="s">
        <v>786</v>
      </c>
      <c r="B39" s="1021"/>
      <c r="C39" s="141">
        <v>5</v>
      </c>
      <c r="D39" s="473" t="s">
        <v>98</v>
      </c>
      <c r="E39" s="589"/>
      <c r="F39" s="589"/>
      <c r="G39" s="589"/>
      <c r="H39" s="472"/>
      <c r="I39" s="1018" t="s">
        <v>786</v>
      </c>
      <c r="J39" s="1021"/>
      <c r="K39" s="141">
        <v>5</v>
      </c>
      <c r="L39" s="473" t="s">
        <v>98</v>
      </c>
      <c r="M39" s="473"/>
      <c r="N39" s="473"/>
      <c r="O39" s="473"/>
      <c r="P39" s="472"/>
      <c r="Q39" s="261"/>
      <c r="R39" s="93"/>
      <c r="S39" s="79"/>
    </row>
    <row r="40" spans="1:19" ht="12.75">
      <c r="A40" s="1018" t="s">
        <v>787</v>
      </c>
      <c r="B40" s="1021"/>
      <c r="C40" s="141">
        <v>120</v>
      </c>
      <c r="D40" s="473" t="s">
        <v>22</v>
      </c>
      <c r="E40" s="589"/>
      <c r="F40" s="589"/>
      <c r="G40" s="589"/>
      <c r="H40" s="472"/>
      <c r="I40" s="1018" t="s">
        <v>787</v>
      </c>
      <c r="J40" s="1021"/>
      <c r="K40" s="141">
        <v>180</v>
      </c>
      <c r="L40" s="473" t="s">
        <v>22</v>
      </c>
      <c r="M40" s="473"/>
      <c r="N40" s="473"/>
      <c r="O40" s="473"/>
      <c r="P40" s="472"/>
      <c r="Q40" s="261"/>
      <c r="R40" s="93"/>
      <c r="S40" s="210"/>
    </row>
    <row r="41" spans="1:19" ht="12.75">
      <c r="A41" s="1022" t="s">
        <v>788</v>
      </c>
      <c r="B41" s="1021"/>
      <c r="C41" s="141">
        <v>36</v>
      </c>
      <c r="D41" s="473" t="s">
        <v>3</v>
      </c>
      <c r="E41" s="589"/>
      <c r="F41" s="589"/>
      <c r="G41" s="589"/>
      <c r="H41" s="472"/>
      <c r="I41" s="1022" t="s">
        <v>788</v>
      </c>
      <c r="J41" s="1021"/>
      <c r="K41" s="141">
        <v>36</v>
      </c>
      <c r="L41" s="473" t="s">
        <v>3</v>
      </c>
      <c r="M41" s="473"/>
      <c r="N41" s="473"/>
      <c r="O41" s="473"/>
      <c r="P41" s="472"/>
      <c r="Q41" s="261"/>
      <c r="R41" s="93"/>
      <c r="S41" s="195"/>
    </row>
    <row r="42" spans="1:19" ht="13.5" thickBot="1">
      <c r="A42" s="1018" t="s">
        <v>789</v>
      </c>
      <c r="B42" s="1021"/>
      <c r="C42" s="141">
        <v>0.28</v>
      </c>
      <c r="D42" s="473" t="s">
        <v>790</v>
      </c>
      <c r="E42" s="589"/>
      <c r="F42" s="589"/>
      <c r="G42" s="589"/>
      <c r="H42" s="472"/>
      <c r="I42" s="1018" t="s">
        <v>789</v>
      </c>
      <c r="J42" s="1021"/>
      <c r="K42" s="119">
        <v>0.01</v>
      </c>
      <c r="L42" s="473" t="s">
        <v>790</v>
      </c>
      <c r="M42" s="473"/>
      <c r="N42" s="473"/>
      <c r="O42" s="473"/>
      <c r="P42" s="472"/>
      <c r="Q42" s="261"/>
      <c r="R42" s="93"/>
      <c r="S42" s="197"/>
    </row>
    <row r="43" spans="1:19" ht="12.75">
      <c r="A43" s="1018" t="s">
        <v>791</v>
      </c>
      <c r="B43" s="1019"/>
      <c r="C43" s="141">
        <v>0.2</v>
      </c>
      <c r="D43" s="473" t="s">
        <v>3</v>
      </c>
      <c r="E43" s="589"/>
      <c r="F43" s="589"/>
      <c r="G43" s="589"/>
      <c r="H43" s="472"/>
      <c r="I43" s="1018"/>
      <c r="J43" s="1019"/>
      <c r="K43" s="591"/>
      <c r="L43" s="473"/>
      <c r="M43" s="473"/>
      <c r="N43" s="473"/>
      <c r="O43" s="473"/>
      <c r="P43" s="472"/>
      <c r="Q43" s="261"/>
      <c r="R43" s="93"/>
      <c r="S43" s="79"/>
    </row>
    <row r="44" spans="1:19" ht="12.75">
      <c r="A44" s="1018" t="s">
        <v>792</v>
      </c>
      <c r="B44" s="1021"/>
      <c r="C44" s="141">
        <v>0.5</v>
      </c>
      <c r="D44" s="473" t="s">
        <v>3</v>
      </c>
      <c r="E44" s="589"/>
      <c r="F44" s="589"/>
      <c r="G44" s="589"/>
      <c r="H44" s="472"/>
      <c r="I44" s="1018"/>
      <c r="J44" s="1021"/>
      <c r="K44" s="591"/>
      <c r="L44" s="473"/>
      <c r="M44" s="473"/>
      <c r="N44" s="473"/>
      <c r="O44" s="473"/>
      <c r="P44" s="472"/>
      <c r="Q44" s="261"/>
      <c r="R44" s="93"/>
      <c r="S44" s="79"/>
    </row>
    <row r="45" spans="1:19" ht="12.75">
      <c r="A45" s="587"/>
      <c r="B45" s="590" t="s">
        <v>793</v>
      </c>
      <c r="C45" s="141">
        <v>80</v>
      </c>
      <c r="D45" s="473"/>
      <c r="E45" s="473"/>
      <c r="F45" s="473"/>
      <c r="G45" s="473"/>
      <c r="H45" s="472"/>
      <c r="I45" s="587"/>
      <c r="J45" s="590"/>
      <c r="K45" s="591"/>
      <c r="L45" s="473"/>
      <c r="M45" s="473"/>
      <c r="N45" s="473"/>
      <c r="O45" s="473"/>
      <c r="P45" s="472"/>
      <c r="Q45" s="261"/>
      <c r="R45" s="93"/>
      <c r="S45" s="197"/>
    </row>
    <row r="46" spans="1:19" ht="12.75">
      <c r="A46" s="1018" t="s">
        <v>794</v>
      </c>
      <c r="B46" s="1023"/>
      <c r="C46" s="141">
        <v>30</v>
      </c>
      <c r="D46" s="592" t="s">
        <v>795</v>
      </c>
      <c r="E46" s="473"/>
      <c r="F46" s="473"/>
      <c r="G46" s="473"/>
      <c r="H46" s="472"/>
      <c r="I46" s="1018"/>
      <c r="J46" s="1019"/>
      <c r="K46" s="591"/>
      <c r="L46" s="592"/>
      <c r="M46" s="473"/>
      <c r="N46" s="473"/>
      <c r="O46" s="473"/>
      <c r="P46" s="472"/>
      <c r="Q46" s="629"/>
      <c r="R46" s="629"/>
      <c r="S46" s="629"/>
    </row>
    <row r="47" spans="1:19" ht="12.75">
      <c r="A47" s="1018" t="s">
        <v>796</v>
      </c>
      <c r="B47" s="1023"/>
      <c r="C47" s="140">
        <v>1.66</v>
      </c>
      <c r="D47" s="473" t="s">
        <v>797</v>
      </c>
      <c r="E47" s="473"/>
      <c r="F47" s="473"/>
      <c r="G47" s="473"/>
      <c r="H47" s="472"/>
      <c r="I47" s="1018"/>
      <c r="J47" s="1019"/>
      <c r="K47" s="593"/>
      <c r="L47" s="473"/>
      <c r="M47" s="473"/>
      <c r="N47" s="473"/>
      <c r="O47" s="473"/>
      <c r="P47" s="472"/>
      <c r="Q47" s="1031"/>
      <c r="R47" s="1031"/>
      <c r="S47" s="1031"/>
    </row>
    <row r="48" spans="1:19" ht="13.5" thickBot="1">
      <c r="A48" s="1018" t="s">
        <v>798</v>
      </c>
      <c r="B48" s="1023"/>
      <c r="C48" s="594">
        <v>21</v>
      </c>
      <c r="D48" s="473" t="s">
        <v>797</v>
      </c>
      <c r="E48" s="473"/>
      <c r="F48" s="473"/>
      <c r="G48" s="473"/>
      <c r="H48" s="472"/>
      <c r="I48" s="1018"/>
      <c r="J48" s="1019"/>
      <c r="K48" s="591"/>
      <c r="L48" s="473"/>
      <c r="M48" s="473"/>
      <c r="N48" s="473"/>
      <c r="O48" s="473"/>
      <c r="P48" s="472"/>
      <c r="Q48" s="629"/>
      <c r="R48" s="629"/>
      <c r="S48" s="629"/>
    </row>
    <row r="49" spans="1:19" ht="12.75">
      <c r="A49" s="470"/>
      <c r="B49" s="473"/>
      <c r="C49" s="473"/>
      <c r="D49" s="473"/>
      <c r="E49" s="473"/>
      <c r="F49" s="473"/>
      <c r="G49" s="473"/>
      <c r="H49" s="472"/>
      <c r="I49" s="470"/>
      <c r="J49" s="473"/>
      <c r="K49" s="473"/>
      <c r="L49" s="473"/>
      <c r="M49" s="473"/>
      <c r="N49" s="473"/>
      <c r="O49" s="473"/>
      <c r="P49" s="472"/>
      <c r="Q49" s="671"/>
      <c r="R49" s="672"/>
      <c r="S49" s="629"/>
    </row>
    <row r="50" spans="1:19" ht="12.75">
      <c r="A50" s="1018" t="s">
        <v>799</v>
      </c>
      <c r="B50" s="1021"/>
      <c r="C50" s="595">
        <f>(C38+(C38*C39/100))</f>
        <v>29.4</v>
      </c>
      <c r="D50" s="473" t="s">
        <v>3</v>
      </c>
      <c r="E50" s="1019" t="s">
        <v>800</v>
      </c>
      <c r="F50" s="1019"/>
      <c r="G50" s="595">
        <f>(C38-(C38*C39/100))</f>
        <v>26.6</v>
      </c>
      <c r="H50" s="472" t="s">
        <v>3</v>
      </c>
      <c r="I50" s="1018" t="s">
        <v>799</v>
      </c>
      <c r="J50" s="1021"/>
      <c r="K50" s="595">
        <f>(K38+(K38*K39/100))</f>
        <v>25.2</v>
      </c>
      <c r="L50" s="473" t="s">
        <v>3</v>
      </c>
      <c r="M50" s="1019" t="s">
        <v>800</v>
      </c>
      <c r="N50" s="1019"/>
      <c r="O50" s="595">
        <f>(K38-(K38*K39/100))</f>
        <v>22.8</v>
      </c>
      <c r="P50" s="472" t="s">
        <v>3</v>
      </c>
      <c r="Q50" s="671"/>
      <c r="R50" s="672"/>
      <c r="S50" s="673"/>
    </row>
    <row r="51" spans="1:19" ht="12.75">
      <c r="A51" s="470"/>
      <c r="B51" s="590" t="s">
        <v>801</v>
      </c>
      <c r="C51" s="595">
        <f>IF(C42&gt;0.1,C44,C43)</f>
        <v>0.5</v>
      </c>
      <c r="D51" s="473" t="s">
        <v>3</v>
      </c>
      <c r="E51" s="473"/>
      <c r="F51" s="590" t="s">
        <v>801</v>
      </c>
      <c r="G51" s="595">
        <f>IF(C42&gt;0.1,C44,C43)</f>
        <v>0.5</v>
      </c>
      <c r="H51" s="472" t="s">
        <v>3</v>
      </c>
      <c r="I51" s="470"/>
      <c r="J51" s="590"/>
      <c r="K51" s="595"/>
      <c r="L51" s="473"/>
      <c r="M51" s="473"/>
      <c r="N51" s="590"/>
      <c r="O51" s="595"/>
      <c r="P51" s="472"/>
      <c r="Q51" s="629"/>
      <c r="R51" s="629"/>
      <c r="S51" s="674"/>
    </row>
    <row r="52" spans="1:16" ht="12.75">
      <c r="A52" s="971" t="s">
        <v>802</v>
      </c>
      <c r="B52" s="972"/>
      <c r="C52" s="972"/>
      <c r="D52" s="972"/>
      <c r="E52" s="972"/>
      <c r="F52" s="972"/>
      <c r="G52" s="972"/>
      <c r="H52" s="973"/>
      <c r="I52" s="1020" t="s">
        <v>803</v>
      </c>
      <c r="J52" s="972"/>
      <c r="K52" s="972"/>
      <c r="L52" s="972"/>
      <c r="M52" s="972"/>
      <c r="N52" s="972"/>
      <c r="O52" s="972"/>
      <c r="P52" s="973"/>
    </row>
    <row r="53" spans="1:16" ht="12.75">
      <c r="A53" s="470"/>
      <c r="B53" s="590" t="s">
        <v>333</v>
      </c>
      <c r="C53" s="595">
        <f>IF(C41&gt;C50,(C41-C50)/C40,C42/C45)</f>
        <v>0.055000000000000014</v>
      </c>
      <c r="D53" s="473" t="s">
        <v>790</v>
      </c>
      <c r="E53" s="473"/>
      <c r="F53" s="590" t="s">
        <v>333</v>
      </c>
      <c r="G53" s="595">
        <f>IF(C41&gt;G50,(C41-G50)/C40,C42/C45)</f>
        <v>0.07833333333333332</v>
      </c>
      <c r="H53" s="472" t="s">
        <v>790</v>
      </c>
      <c r="I53" s="470"/>
      <c r="J53" s="590"/>
      <c r="K53" s="595"/>
      <c r="L53" s="473"/>
      <c r="M53" s="473"/>
      <c r="N53" s="590"/>
      <c r="O53" s="595"/>
      <c r="P53" s="472"/>
    </row>
    <row r="54" spans="1:16" ht="12.75">
      <c r="A54" s="470"/>
      <c r="B54" s="588" t="s">
        <v>804</v>
      </c>
      <c r="C54" s="595">
        <f>IF((C42/C45)*C40&gt;C41-C50,IF((C42/C45)*C40&lt;C41-C51,(C42/C45)*C40,C41-C51),C53*C40)</f>
        <v>6.600000000000001</v>
      </c>
      <c r="D54" s="473" t="s">
        <v>3</v>
      </c>
      <c r="E54" s="473"/>
      <c r="F54" s="588" t="s">
        <v>804</v>
      </c>
      <c r="G54" s="595">
        <f>IF((C42/C45)*C40&gt;C41-G50,IF((C42/C45)*C40&lt;C41-G51,(C42/C45)*C40,C41-G51),G53*C40)</f>
        <v>9.399999999999999</v>
      </c>
      <c r="H54" s="472" t="s">
        <v>3</v>
      </c>
      <c r="I54" s="470"/>
      <c r="J54" s="590" t="s">
        <v>333</v>
      </c>
      <c r="K54" s="595">
        <f>IF(K42&gt;K41/K40,K41/K40,IF(K50&gt;K41,K42,IF((K41-K50)/K40&gt;K42,(K41-K50)/K40,K42)))</f>
        <v>0.060000000000000005</v>
      </c>
      <c r="L54" s="473" t="s">
        <v>790</v>
      </c>
      <c r="M54" s="473"/>
      <c r="N54" s="590" t="s">
        <v>333</v>
      </c>
      <c r="O54" s="595">
        <f>IF(K42&gt;K41/K40,K41/K40,IF(O50&gt;K41,K42,IF((K41-O50)/K40&gt;K42,(K41-O50)/K40,K42)))</f>
        <v>0.07333333333333333</v>
      </c>
      <c r="P54" s="472" t="s">
        <v>790</v>
      </c>
    </row>
    <row r="55" spans="1:16" ht="12.75">
      <c r="A55" s="1019" t="s">
        <v>805</v>
      </c>
      <c r="B55" s="1019"/>
      <c r="C55" s="595">
        <f>C42/C45</f>
        <v>0.0035000000000000005</v>
      </c>
      <c r="D55" s="473" t="s">
        <v>790</v>
      </c>
      <c r="E55" s="1019" t="s">
        <v>805</v>
      </c>
      <c r="F55" s="1019"/>
      <c r="G55" s="595">
        <f>C42/C45</f>
        <v>0.0035000000000000005</v>
      </c>
      <c r="H55" s="472" t="s">
        <v>790</v>
      </c>
      <c r="I55" s="1022" t="s">
        <v>806</v>
      </c>
      <c r="J55" s="1021"/>
      <c r="K55" s="595">
        <f>IF(K41&gt;K50,IF(K42*K40&lt;K41-K38,K50,K41-K54*K40),K41-(K54*K40))</f>
        <v>25.2</v>
      </c>
      <c r="L55" s="473" t="s">
        <v>3</v>
      </c>
      <c r="M55" s="1021" t="s">
        <v>806</v>
      </c>
      <c r="N55" s="1021"/>
      <c r="O55" s="595">
        <f>IF(K41&gt;O50,O50,K41-(O54*K40))</f>
        <v>22.8</v>
      </c>
      <c r="P55" s="472" t="s">
        <v>3</v>
      </c>
    </row>
    <row r="56" spans="1:16" ht="12.75">
      <c r="A56" s="470"/>
      <c r="B56" s="590" t="s">
        <v>807</v>
      </c>
      <c r="C56" s="595">
        <f>IF(C53-C55&gt;0,C53-C55,0)</f>
        <v>0.05150000000000001</v>
      </c>
      <c r="D56" s="473" t="s">
        <v>790</v>
      </c>
      <c r="E56" s="473"/>
      <c r="F56" s="590" t="s">
        <v>807</v>
      </c>
      <c r="G56" s="595">
        <f>IF(G53-G55&gt;0,G53-G55,0)</f>
        <v>0.07483333333333332</v>
      </c>
      <c r="H56" s="472" t="s">
        <v>790</v>
      </c>
      <c r="I56" s="470"/>
      <c r="J56" s="590" t="s">
        <v>807</v>
      </c>
      <c r="K56" s="595">
        <f>IF(K41&gt;K50,IF((K41-K50)/K40-K42&gt;0,(K41-K50)/K40-K42,0),0)</f>
        <v>0.05</v>
      </c>
      <c r="L56" s="473" t="s">
        <v>790</v>
      </c>
      <c r="M56" s="1019" t="s">
        <v>807</v>
      </c>
      <c r="N56" s="1019"/>
      <c r="O56" s="595">
        <f>IF(K41&gt;O50,IF((K41-O50)/K40-K42&gt;0,(K41-O50)/K40-K42,0),0)</f>
        <v>0.06333333333333334</v>
      </c>
      <c r="P56" s="472" t="s">
        <v>790</v>
      </c>
    </row>
    <row r="57" spans="1:16" ht="12.75">
      <c r="A57" s="1020" t="s">
        <v>808</v>
      </c>
      <c r="B57" s="857"/>
      <c r="C57" s="595">
        <f>IF((C42/C45)*C40&gt;C41-C50,IF(C41-C51-C54&gt;0,C41-C51-C54,0),C50-C51)</f>
        <v>28.9</v>
      </c>
      <c r="D57" s="473" t="s">
        <v>3</v>
      </c>
      <c r="E57" s="1021" t="s">
        <v>808</v>
      </c>
      <c r="F57" s="1021"/>
      <c r="G57" s="595">
        <f>IF((C42/C45)*C40&gt;C41-G50,IF(C41-G51-G54&gt;0,C41-G51-G54,0),G50-G51)</f>
        <v>26.1</v>
      </c>
      <c r="H57" s="472" t="s">
        <v>3</v>
      </c>
      <c r="I57" s="1018" t="s">
        <v>809</v>
      </c>
      <c r="J57" s="1021"/>
      <c r="K57" s="595">
        <f>IF(K42=0,0,K54-K56)</f>
        <v>0.010000000000000002</v>
      </c>
      <c r="L57" s="592" t="s">
        <v>790</v>
      </c>
      <c r="M57" s="1019" t="s">
        <v>809</v>
      </c>
      <c r="N57" s="1021"/>
      <c r="O57" s="595">
        <f>IF(K42=0,0,O54-O56)</f>
        <v>0.009999999999999995</v>
      </c>
      <c r="P57" s="596" t="s">
        <v>790</v>
      </c>
    </row>
    <row r="58" spans="1:16" ht="12.75">
      <c r="A58" s="470"/>
      <c r="B58" s="590" t="s">
        <v>333</v>
      </c>
      <c r="C58" s="595">
        <f>C54^2/C40</f>
        <v>0.36300000000000016</v>
      </c>
      <c r="D58" s="473" t="s">
        <v>1</v>
      </c>
      <c r="E58" s="473"/>
      <c r="F58" s="590" t="s">
        <v>333</v>
      </c>
      <c r="G58" s="595">
        <f>G54^2/C40</f>
        <v>0.7363333333333331</v>
      </c>
      <c r="H58" s="472" t="s">
        <v>1</v>
      </c>
      <c r="I58" s="470"/>
      <c r="J58" s="590" t="s">
        <v>333</v>
      </c>
      <c r="K58" s="595">
        <f>K54^2*K40</f>
        <v>0.6480000000000001</v>
      </c>
      <c r="L58" s="473" t="s">
        <v>1</v>
      </c>
      <c r="M58" s="473"/>
      <c r="N58" s="590" t="s">
        <v>333</v>
      </c>
      <c r="O58" s="595">
        <f>O54^2*K40</f>
        <v>0.9680000000000001</v>
      </c>
      <c r="P58" s="472" t="s">
        <v>1</v>
      </c>
    </row>
    <row r="59" spans="1:16" ht="12.75">
      <c r="A59" s="470"/>
      <c r="B59" s="590" t="s">
        <v>810</v>
      </c>
      <c r="C59" s="595">
        <f>C50*C56</f>
        <v>1.5141000000000002</v>
      </c>
      <c r="D59" s="473" t="s">
        <v>1</v>
      </c>
      <c r="E59" s="473"/>
      <c r="F59" s="590" t="s">
        <v>810</v>
      </c>
      <c r="G59" s="595">
        <f>G50*G56</f>
        <v>1.9905666666666664</v>
      </c>
      <c r="H59" s="472" t="s">
        <v>1</v>
      </c>
      <c r="I59" s="470"/>
      <c r="J59" s="590" t="s">
        <v>810</v>
      </c>
      <c r="K59" s="595">
        <f>K50*K56</f>
        <v>1.26</v>
      </c>
      <c r="L59" s="473" t="s">
        <v>1</v>
      </c>
      <c r="M59" s="473"/>
      <c r="N59" s="590" t="s">
        <v>810</v>
      </c>
      <c r="O59" s="595">
        <f>O50*O56</f>
        <v>1.4440000000000002</v>
      </c>
      <c r="P59" s="472" t="s">
        <v>1</v>
      </c>
    </row>
    <row r="60" spans="1:16" ht="12.75">
      <c r="A60" s="470"/>
      <c r="B60" s="590" t="s">
        <v>811</v>
      </c>
      <c r="C60" s="595">
        <f>(C41-C57)*C42</f>
        <v>1.9880000000000007</v>
      </c>
      <c r="D60" s="473" t="s">
        <v>1</v>
      </c>
      <c r="E60" s="473"/>
      <c r="F60" s="590" t="s">
        <v>811</v>
      </c>
      <c r="G60" s="595">
        <f>(C41-G57)*C42</f>
        <v>2.772</v>
      </c>
      <c r="H60" s="472" t="s">
        <v>1</v>
      </c>
      <c r="I60" s="470"/>
      <c r="J60" s="590"/>
      <c r="K60" s="595"/>
      <c r="L60" s="473"/>
      <c r="M60" s="473"/>
      <c r="N60" s="590"/>
      <c r="O60" s="595"/>
      <c r="P60" s="472"/>
    </row>
    <row r="61" spans="1:16" ht="12.75">
      <c r="A61" s="1018" t="s">
        <v>812</v>
      </c>
      <c r="B61" s="1019"/>
      <c r="C61" s="595">
        <f>C60*(C47+C48)+C46</f>
        <v>75.04808000000001</v>
      </c>
      <c r="D61" s="592" t="s">
        <v>795</v>
      </c>
      <c r="E61" s="1019" t="s">
        <v>812</v>
      </c>
      <c r="F61" s="1019"/>
      <c r="G61" s="595">
        <f>G60*(C47+C48)+C46</f>
        <v>92.81352</v>
      </c>
      <c r="H61" s="596" t="s">
        <v>795</v>
      </c>
      <c r="I61" s="1018"/>
      <c r="J61" s="1019"/>
      <c r="K61" s="595"/>
      <c r="L61" s="592"/>
      <c r="M61" s="1019"/>
      <c r="N61" s="1019"/>
      <c r="O61" s="595"/>
      <c r="P61" s="596"/>
    </row>
    <row r="62" spans="1:16" ht="13.5" thickBot="1">
      <c r="A62" s="597"/>
      <c r="B62" s="598"/>
      <c r="C62" s="599"/>
      <c r="D62" s="598"/>
      <c r="E62" s="598"/>
      <c r="F62" s="598"/>
      <c r="G62" s="599"/>
      <c r="H62" s="600"/>
      <c r="I62" s="597"/>
      <c r="J62" s="598"/>
      <c r="K62" s="599"/>
      <c r="L62" s="598"/>
      <c r="M62" s="598"/>
      <c r="N62" s="598"/>
      <c r="O62" s="599"/>
      <c r="P62" s="600"/>
    </row>
    <row r="70" spans="11:14" ht="12.75">
      <c r="K70" s="79"/>
      <c r="L70" s="79"/>
      <c r="M70" s="79"/>
      <c r="N70" s="79"/>
    </row>
    <row r="71" spans="11:14" ht="12.75">
      <c r="K71" s="79"/>
      <c r="L71" s="79"/>
      <c r="M71" s="79"/>
      <c r="N71" s="79"/>
    </row>
  </sheetData>
  <sheetProtection/>
  <mergeCells count="85">
    <mergeCell ref="Q36:S36"/>
    <mergeCell ref="Q47:S47"/>
    <mergeCell ref="J8:L8"/>
    <mergeCell ref="J20:L20"/>
    <mergeCell ref="M20:O20"/>
    <mergeCell ref="M25:O25"/>
    <mergeCell ref="M32:O32"/>
    <mergeCell ref="P19:S19"/>
    <mergeCell ref="J25:L25"/>
    <mergeCell ref="Q13:S13"/>
    <mergeCell ref="M1:O1"/>
    <mergeCell ref="M8:O8"/>
    <mergeCell ref="M13:O13"/>
    <mergeCell ref="J13:L13"/>
    <mergeCell ref="J1:L1"/>
    <mergeCell ref="D20:F20"/>
    <mergeCell ref="G6:I6"/>
    <mergeCell ref="G22:I22"/>
    <mergeCell ref="G14:I14"/>
    <mergeCell ref="D10:F10"/>
    <mergeCell ref="E25:I25"/>
    <mergeCell ref="E27:F27"/>
    <mergeCell ref="E29:F29"/>
    <mergeCell ref="E31:F31"/>
    <mergeCell ref="A20:C20"/>
    <mergeCell ref="A33:B33"/>
    <mergeCell ref="A34:B34"/>
    <mergeCell ref="A28:B28"/>
    <mergeCell ref="A29:B29"/>
    <mergeCell ref="A32:B32"/>
    <mergeCell ref="B25:C25"/>
    <mergeCell ref="A27:B27"/>
    <mergeCell ref="A30:B30"/>
    <mergeCell ref="A1:C2"/>
    <mergeCell ref="D1:F2"/>
    <mergeCell ref="G17:I17"/>
    <mergeCell ref="G9:I9"/>
    <mergeCell ref="G1:I1"/>
    <mergeCell ref="D14:F14"/>
    <mergeCell ref="A10:C10"/>
    <mergeCell ref="A7:C7"/>
    <mergeCell ref="D7:F7"/>
    <mergeCell ref="A14:C14"/>
    <mergeCell ref="A36:H36"/>
    <mergeCell ref="I36:P36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6:B46"/>
    <mergeCell ref="I46:J46"/>
    <mergeCell ref="A47:B47"/>
    <mergeCell ref="I47:J47"/>
    <mergeCell ref="A48:B48"/>
    <mergeCell ref="I48:J48"/>
    <mergeCell ref="A50:B50"/>
    <mergeCell ref="E50:F50"/>
    <mergeCell ref="I50:J50"/>
    <mergeCell ref="M50:N50"/>
    <mergeCell ref="A52:H52"/>
    <mergeCell ref="I52:P52"/>
    <mergeCell ref="A55:B55"/>
    <mergeCell ref="E55:F55"/>
    <mergeCell ref="I55:J55"/>
    <mergeCell ref="M55:N55"/>
    <mergeCell ref="P1:S1"/>
    <mergeCell ref="A61:B61"/>
    <mergeCell ref="E61:F61"/>
    <mergeCell ref="I61:J61"/>
    <mergeCell ref="M61:N61"/>
    <mergeCell ref="M56:N56"/>
    <mergeCell ref="A57:B57"/>
    <mergeCell ref="E57:F57"/>
    <mergeCell ref="I57:J57"/>
    <mergeCell ref="M57:N57"/>
  </mergeCells>
  <conditionalFormatting sqref="R17">
    <cfRule type="expression" priority="1" dxfId="0" stopIfTrue="1">
      <formula>IF($AF$49&gt;$AF$44,1,0)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6"/>
  <sheetViews>
    <sheetView zoomScalePageLayoutView="0" workbookViewId="0" topLeftCell="A1">
      <selection activeCell="T65" sqref="T65"/>
    </sheetView>
  </sheetViews>
  <sheetFormatPr defaultColWidth="9.140625" defaultRowHeight="12.75"/>
  <cols>
    <col min="1" max="1" width="14.00390625" style="0" customWidth="1"/>
    <col min="2" max="2" width="10.57421875" style="0" bestFit="1" customWidth="1"/>
    <col min="3" max="3" width="10.8515625" style="0" customWidth="1"/>
    <col min="4" max="4" width="14.8515625" style="0" customWidth="1"/>
    <col min="5" max="5" width="11.140625" style="0" bestFit="1" customWidth="1"/>
    <col min="6" max="6" width="10.8515625" style="0" customWidth="1"/>
    <col min="7" max="7" width="7.00390625" style="0" customWidth="1"/>
    <col min="10" max="10" width="11.421875" style="0" customWidth="1"/>
    <col min="11" max="11" width="8.7109375" style="0" customWidth="1"/>
    <col min="12" max="12" width="12.57421875" style="0" customWidth="1"/>
    <col min="13" max="13" width="11.7109375" style="0" customWidth="1"/>
    <col min="14" max="14" width="11.28125" style="0" customWidth="1"/>
    <col min="16" max="16" width="12.421875" style="0" customWidth="1"/>
    <col min="17" max="17" width="11.28125" style="0" customWidth="1"/>
    <col min="18" max="18" width="13.8515625" style="0" bestFit="1" customWidth="1"/>
    <col min="20" max="20" width="12.00390625" style="0" customWidth="1"/>
    <col min="21" max="21" width="12.140625" style="0" customWidth="1"/>
    <col min="26" max="26" width="12.421875" style="0" bestFit="1" customWidth="1"/>
  </cols>
  <sheetData>
    <row r="1" spans="1:19" ht="12.75">
      <c r="A1" s="862" t="s">
        <v>21</v>
      </c>
      <c r="B1" s="862"/>
      <c r="C1" s="863"/>
      <c r="D1" s="861" t="s">
        <v>31</v>
      </c>
      <c r="E1" s="862"/>
      <c r="F1" s="862"/>
      <c r="G1" s="863"/>
      <c r="H1" s="921" t="s">
        <v>305</v>
      </c>
      <c r="I1" s="922"/>
      <c r="J1" s="922"/>
      <c r="K1" s="922"/>
      <c r="L1" s="861" t="s">
        <v>320</v>
      </c>
      <c r="M1" s="862"/>
      <c r="N1" s="862"/>
      <c r="O1" s="863"/>
      <c r="P1" s="1057" t="s">
        <v>612</v>
      </c>
      <c r="Q1" s="1058"/>
      <c r="R1" s="1058"/>
      <c r="S1" s="1059"/>
    </row>
    <row r="2" spans="1:19" ht="13.5" thickBot="1">
      <c r="A2" s="21"/>
      <c r="B2" s="21"/>
      <c r="C2" s="22"/>
      <c r="D2" s="183"/>
      <c r="E2" s="21"/>
      <c r="F2" s="21"/>
      <c r="G2" s="293"/>
      <c r="H2" s="42"/>
      <c r="I2" s="43"/>
      <c r="J2" s="43"/>
      <c r="K2" s="43"/>
      <c r="L2" s="20"/>
      <c r="M2" s="374"/>
      <c r="N2" s="374"/>
      <c r="O2" s="22"/>
      <c r="P2" s="15"/>
      <c r="Q2" s="16"/>
      <c r="R2" s="16"/>
      <c r="S2" s="78"/>
    </row>
    <row r="3" spans="1:19" ht="13.5" thickBot="1">
      <c r="A3" s="23"/>
      <c r="B3" s="23"/>
      <c r="C3" s="82"/>
      <c r="D3" s="183" t="s">
        <v>404</v>
      </c>
      <c r="E3" s="118">
        <v>10</v>
      </c>
      <c r="F3" s="293" t="s">
        <v>66</v>
      </c>
      <c r="G3" s="292"/>
      <c r="H3" s="1006" t="s">
        <v>329</v>
      </c>
      <c r="I3" s="1036"/>
      <c r="J3" s="372">
        <v>8.2</v>
      </c>
      <c r="K3" s="324" t="s">
        <v>48</v>
      </c>
      <c r="L3" s="991" t="s">
        <v>428</v>
      </c>
      <c r="M3" s="992"/>
      <c r="N3" s="316">
        <v>0.3443</v>
      </c>
      <c r="O3" s="22"/>
      <c r="P3" s="1060" t="s">
        <v>627</v>
      </c>
      <c r="Q3" s="1061"/>
      <c r="R3" s="443">
        <v>75</v>
      </c>
      <c r="S3" s="83" t="s">
        <v>56</v>
      </c>
    </row>
    <row r="4" spans="1:19" ht="13.5" thickBot="1">
      <c r="A4" s="221" t="s">
        <v>439</v>
      </c>
      <c r="B4" s="118">
        <v>10</v>
      </c>
      <c r="C4" s="304" t="s">
        <v>66</v>
      </c>
      <c r="D4" s="183" t="s">
        <v>403</v>
      </c>
      <c r="E4" s="141">
        <v>2</v>
      </c>
      <c r="F4" s="293" t="s">
        <v>66</v>
      </c>
      <c r="G4" s="292"/>
      <c r="H4" s="1006" t="s">
        <v>330</v>
      </c>
      <c r="I4" s="1036"/>
      <c r="J4" s="141">
        <v>-9</v>
      </c>
      <c r="K4" s="324"/>
      <c r="L4" s="991" t="s">
        <v>444</v>
      </c>
      <c r="M4" s="992"/>
      <c r="N4" s="317">
        <v>-18.94</v>
      </c>
      <c r="O4" s="22" t="s">
        <v>2</v>
      </c>
      <c r="P4" s="15"/>
      <c r="Q4" s="323" t="s">
        <v>348</v>
      </c>
      <c r="R4" s="444">
        <v>1</v>
      </c>
      <c r="S4" s="78" t="s">
        <v>76</v>
      </c>
    </row>
    <row r="5" spans="1:19" ht="13.5" thickBot="1">
      <c r="A5" s="221" t="s">
        <v>401</v>
      </c>
      <c r="B5" s="119">
        <v>24</v>
      </c>
      <c r="C5" s="82"/>
      <c r="D5" s="183" t="s">
        <v>402</v>
      </c>
      <c r="E5" s="141">
        <v>4</v>
      </c>
      <c r="F5" s="293"/>
      <c r="G5" s="292"/>
      <c r="H5" s="1006" t="s">
        <v>347</v>
      </c>
      <c r="I5" s="1036"/>
      <c r="J5" s="141">
        <v>820</v>
      </c>
      <c r="K5" s="324" t="s">
        <v>48</v>
      </c>
      <c r="L5" s="991" t="s">
        <v>443</v>
      </c>
      <c r="M5" s="992"/>
      <c r="N5" s="318">
        <v>-27.76</v>
      </c>
      <c r="O5" s="22" t="s">
        <v>2</v>
      </c>
      <c r="P5" s="352"/>
      <c r="Q5" s="16"/>
      <c r="R5" s="16"/>
      <c r="S5" s="78"/>
    </row>
    <row r="6" spans="1:19" ht="13.5" thickBot="1">
      <c r="A6" s="23"/>
      <c r="B6" s="24"/>
      <c r="C6" s="95"/>
      <c r="D6" s="183" t="s">
        <v>405</v>
      </c>
      <c r="E6" s="119">
        <v>4</v>
      </c>
      <c r="F6" s="319"/>
      <c r="G6" s="319"/>
      <c r="H6" s="1006" t="s">
        <v>330</v>
      </c>
      <c r="I6" s="1036"/>
      <c r="J6" s="119">
        <v>-9</v>
      </c>
      <c r="K6" s="364"/>
      <c r="L6" s="20"/>
      <c r="M6" s="21"/>
      <c r="N6" s="371"/>
      <c r="O6" s="22"/>
      <c r="P6" s="804" t="s">
        <v>57</v>
      </c>
      <c r="Q6" s="805"/>
      <c r="R6" s="805"/>
      <c r="S6" s="806"/>
    </row>
    <row r="7" spans="1:19" ht="12.75">
      <c r="A7" s="844" t="s">
        <v>308</v>
      </c>
      <c r="B7" s="844"/>
      <c r="C7" s="845"/>
      <c r="D7" s="319"/>
      <c r="E7" s="319"/>
      <c r="F7" s="319"/>
      <c r="G7" s="319"/>
      <c r="H7" s="42"/>
      <c r="I7" s="43"/>
      <c r="J7" s="43"/>
      <c r="K7" s="43"/>
      <c r="L7" s="20" t="s">
        <v>441</v>
      </c>
      <c r="M7" s="371"/>
      <c r="N7" s="21"/>
      <c r="O7" s="22"/>
      <c r="P7" s="15"/>
      <c r="Q7" s="16" t="s">
        <v>319</v>
      </c>
      <c r="R7" s="446">
        <f>3*10^8/(R4*10^6)</f>
        <v>300</v>
      </c>
      <c r="S7" s="83" t="s">
        <v>56</v>
      </c>
    </row>
    <row r="8" spans="1:19" ht="12.75">
      <c r="A8" s="221" t="s">
        <v>6</v>
      </c>
      <c r="B8" s="41">
        <f>B4*B5</f>
        <v>240</v>
      </c>
      <c r="C8" s="303" t="s">
        <v>66</v>
      </c>
      <c r="D8" s="183" t="s">
        <v>306</v>
      </c>
      <c r="E8" s="41">
        <f>E3*E5</f>
        <v>40</v>
      </c>
      <c r="F8" s="292" t="s">
        <v>76</v>
      </c>
      <c r="G8" s="293"/>
      <c r="H8" s="1055" t="s">
        <v>74</v>
      </c>
      <c r="I8" s="1056"/>
      <c r="J8" s="1056"/>
      <c r="K8" s="1056"/>
      <c r="L8" s="996" t="s">
        <v>442</v>
      </c>
      <c r="M8" s="843"/>
      <c r="N8" s="843"/>
      <c r="O8" s="855"/>
      <c r="P8" s="352"/>
      <c r="Q8" s="442"/>
      <c r="R8" s="16"/>
      <c r="S8" s="78"/>
    </row>
    <row r="9" spans="1:19" ht="12.75">
      <c r="A9" s="181"/>
      <c r="B9" s="110"/>
      <c r="C9" s="304"/>
      <c r="D9" s="182" t="s">
        <v>307</v>
      </c>
      <c r="E9" s="41">
        <f>E4*E6</f>
        <v>8</v>
      </c>
      <c r="F9" s="292" t="s">
        <v>76</v>
      </c>
      <c r="G9" s="319"/>
      <c r="H9" s="936" t="s">
        <v>75</v>
      </c>
      <c r="I9" s="937"/>
      <c r="J9" s="937"/>
      <c r="K9" s="937"/>
      <c r="L9" s="20"/>
      <c r="M9" s="371"/>
      <c r="N9" s="21"/>
      <c r="O9" s="22"/>
      <c r="P9" s="804" t="s">
        <v>613</v>
      </c>
      <c r="Q9" s="841"/>
      <c r="R9" s="841"/>
      <c r="S9" s="842"/>
    </row>
    <row r="10" spans="1:19" ht="12.75">
      <c r="A10" s="221" t="s">
        <v>7</v>
      </c>
      <c r="B10" s="41">
        <f>$B$4*2</f>
        <v>20</v>
      </c>
      <c r="C10" s="303" t="s">
        <v>66</v>
      </c>
      <c r="D10" s="183" t="s">
        <v>32</v>
      </c>
      <c r="E10" s="41">
        <f>(E3*E5)+(E4*E6)</f>
        <v>48</v>
      </c>
      <c r="F10" s="293" t="s">
        <v>66</v>
      </c>
      <c r="G10" s="319"/>
      <c r="H10" s="42"/>
      <c r="I10" s="43"/>
      <c r="J10" s="49"/>
      <c r="K10" s="47"/>
      <c r="L10" s="991" t="s">
        <v>429</v>
      </c>
      <c r="M10" s="992"/>
      <c r="N10" s="445">
        <f>10^((N5-((10*LOG(N3,10))+N4))/10)*100</f>
        <v>38.11210859771137</v>
      </c>
      <c r="O10" s="375" t="s">
        <v>98</v>
      </c>
      <c r="P10" s="15"/>
      <c r="Q10" s="16"/>
      <c r="R10" s="16"/>
      <c r="S10" s="78"/>
    </row>
    <row r="11" spans="1:24" ht="12.75">
      <c r="A11" s="221" t="s">
        <v>8</v>
      </c>
      <c r="B11" s="41">
        <f>$B$4*3</f>
        <v>30</v>
      </c>
      <c r="C11" s="303" t="s">
        <v>66</v>
      </c>
      <c r="D11" s="183" t="s">
        <v>33</v>
      </c>
      <c r="E11" s="41">
        <f>IF(E8&gt;E9,((E3*E5)-(E4*E6)),((E4*E6)-(E3*E5)))</f>
        <v>32</v>
      </c>
      <c r="F11" s="293" t="s">
        <v>66</v>
      </c>
      <c r="G11" s="319"/>
      <c r="H11" s="1003" t="s">
        <v>6</v>
      </c>
      <c r="I11" s="1005"/>
      <c r="J11" s="109">
        <f>1/(2*PI()*SQRT(J3*10^J4*J5*10^J6))</f>
        <v>1940913.9401450653</v>
      </c>
      <c r="K11" s="364" t="s">
        <v>50</v>
      </c>
      <c r="L11" s="20"/>
      <c r="M11" s="21"/>
      <c r="N11" s="21"/>
      <c r="O11" s="22"/>
      <c r="P11" s="15"/>
      <c r="Q11" s="16" t="s">
        <v>614</v>
      </c>
      <c r="R11" s="446">
        <f>2*R3^2/R7</f>
        <v>37.5</v>
      </c>
      <c r="S11" s="83" t="s">
        <v>56</v>
      </c>
      <c r="T11" s="216"/>
      <c r="U11" s="216"/>
      <c r="V11" s="216"/>
      <c r="W11" s="216"/>
      <c r="X11" s="216"/>
    </row>
    <row r="12" spans="1:24" ht="13.5" thickBot="1">
      <c r="A12" s="221" t="s">
        <v>9</v>
      </c>
      <c r="B12" s="41">
        <f>$B$4*4</f>
        <v>40</v>
      </c>
      <c r="C12" s="303" t="s">
        <v>66</v>
      </c>
      <c r="D12" s="294"/>
      <c r="E12" s="27"/>
      <c r="F12" s="27"/>
      <c r="G12" s="27"/>
      <c r="H12" s="52"/>
      <c r="I12" s="354" t="s">
        <v>409</v>
      </c>
      <c r="J12" s="218">
        <f>J11/1000000</f>
        <v>1.9409139401450652</v>
      </c>
      <c r="K12" s="366" t="s">
        <v>76</v>
      </c>
      <c r="L12" s="26"/>
      <c r="M12" s="27"/>
      <c r="N12" s="27"/>
      <c r="O12" s="28"/>
      <c r="P12" s="313"/>
      <c r="Q12" s="314"/>
      <c r="R12" s="314"/>
      <c r="S12" s="134"/>
      <c r="T12" s="330"/>
      <c r="U12" s="79"/>
      <c r="V12" s="79"/>
      <c r="W12" s="79"/>
      <c r="X12" s="216"/>
    </row>
    <row r="13" spans="1:24" ht="12.75">
      <c r="A13" s="221" t="s">
        <v>10</v>
      </c>
      <c r="B13" s="41">
        <f>$B$4*5</f>
        <v>50</v>
      </c>
      <c r="C13" s="303" t="s">
        <v>66</v>
      </c>
      <c r="D13" s="837" t="s">
        <v>64</v>
      </c>
      <c r="E13" s="838"/>
      <c r="F13" s="838"/>
      <c r="G13" s="838"/>
      <c r="H13" s="873" t="s">
        <v>149</v>
      </c>
      <c r="I13" s="850"/>
      <c r="J13" s="850"/>
      <c r="K13" s="875"/>
      <c r="L13" s="824" t="s">
        <v>461</v>
      </c>
      <c r="M13" s="799"/>
      <c r="N13" s="799"/>
      <c r="O13" s="800"/>
      <c r="P13" s="824" t="s">
        <v>459</v>
      </c>
      <c r="Q13" s="799"/>
      <c r="R13" s="799"/>
      <c r="S13" s="799"/>
      <c r="T13" s="824" t="s">
        <v>821</v>
      </c>
      <c r="U13" s="799"/>
      <c r="V13" s="799"/>
      <c r="W13" s="800"/>
      <c r="X13" s="216"/>
    </row>
    <row r="14" spans="1:24" ht="13.5" thickBot="1">
      <c r="A14" s="221" t="s">
        <v>11</v>
      </c>
      <c r="B14" s="41">
        <f>$B$4*6</f>
        <v>60</v>
      </c>
      <c r="C14" s="303" t="s">
        <v>66</v>
      </c>
      <c r="D14" s="15"/>
      <c r="E14" s="16"/>
      <c r="F14" s="16"/>
      <c r="G14" s="16"/>
      <c r="H14" s="30"/>
      <c r="I14" s="31"/>
      <c r="J14" s="31"/>
      <c r="K14" s="32"/>
      <c r="L14" s="60"/>
      <c r="M14" s="386"/>
      <c r="N14" s="61"/>
      <c r="O14" s="59"/>
      <c r="P14" s="60"/>
      <c r="Q14" s="61"/>
      <c r="R14" s="61"/>
      <c r="S14" s="61"/>
      <c r="T14" s="60"/>
      <c r="U14" s="61"/>
      <c r="V14" s="61"/>
      <c r="W14" s="59"/>
      <c r="X14" s="216"/>
    </row>
    <row r="15" spans="1:24" ht="13.5" thickBot="1">
      <c r="A15" s="221" t="s">
        <v>12</v>
      </c>
      <c r="B15" s="41">
        <f>$B$4*7</f>
        <v>70</v>
      </c>
      <c r="C15" s="303" t="s">
        <v>66</v>
      </c>
      <c r="D15" s="312" t="s">
        <v>406</v>
      </c>
      <c r="E15" s="145">
        <f>0.444/0.82*4</f>
        <v>2.1658536585365855</v>
      </c>
      <c r="F15" s="53" t="s">
        <v>56</v>
      </c>
      <c r="G15" s="295"/>
      <c r="H15" s="1053" t="s">
        <v>638</v>
      </c>
      <c r="I15" s="1054"/>
      <c r="J15" s="118">
        <v>5</v>
      </c>
      <c r="K15" s="298" t="s">
        <v>150</v>
      </c>
      <c r="L15" s="60"/>
      <c r="M15" s="335" t="s">
        <v>466</v>
      </c>
      <c r="N15" s="199">
        <v>30</v>
      </c>
      <c r="O15" s="59" t="s">
        <v>457</v>
      </c>
      <c r="P15" s="833" t="s">
        <v>463</v>
      </c>
      <c r="Q15" s="834"/>
      <c r="R15" s="384">
        <v>1</v>
      </c>
      <c r="S15" s="61" t="s">
        <v>3</v>
      </c>
      <c r="T15" s="833" t="s">
        <v>961</v>
      </c>
      <c r="U15" s="834"/>
      <c r="V15" s="384">
        <v>0.537</v>
      </c>
      <c r="W15" s="59" t="s">
        <v>3</v>
      </c>
      <c r="X15" s="216"/>
    </row>
    <row r="16" spans="1:24" ht="13.5" thickBot="1">
      <c r="A16" s="221" t="s">
        <v>13</v>
      </c>
      <c r="B16" s="41">
        <f>$B$4*8</f>
        <v>80</v>
      </c>
      <c r="C16" s="303" t="s">
        <v>66</v>
      </c>
      <c r="D16" s="804"/>
      <c r="E16" s="805"/>
      <c r="F16" s="53"/>
      <c r="G16" s="53"/>
      <c r="H16" s="1053" t="s">
        <v>407</v>
      </c>
      <c r="I16" s="1054"/>
      <c r="J16" s="150">
        <v>4.2</v>
      </c>
      <c r="K16" s="162"/>
      <c r="L16" s="60"/>
      <c r="M16" s="61"/>
      <c r="N16" s="61"/>
      <c r="O16" s="59"/>
      <c r="P16" s="833" t="s">
        <v>464</v>
      </c>
      <c r="Q16" s="834"/>
      <c r="R16" s="385">
        <v>135</v>
      </c>
      <c r="S16" s="61" t="s">
        <v>457</v>
      </c>
      <c r="T16" s="833" t="s">
        <v>962</v>
      </c>
      <c r="U16" s="834"/>
      <c r="V16" s="723">
        <v>55</v>
      </c>
      <c r="W16" s="59" t="s">
        <v>457</v>
      </c>
      <c r="X16" s="216"/>
    </row>
    <row r="17" spans="1:24" ht="12.75">
      <c r="A17" s="221" t="s">
        <v>14</v>
      </c>
      <c r="B17" s="41">
        <f>$B$4*9</f>
        <v>90</v>
      </c>
      <c r="C17" s="303" t="s">
        <v>66</v>
      </c>
      <c r="D17" s="804" t="s">
        <v>58</v>
      </c>
      <c r="E17" s="805"/>
      <c r="F17" s="805"/>
      <c r="G17" s="253"/>
      <c r="H17" s="33"/>
      <c r="I17" s="39"/>
      <c r="J17" s="35"/>
      <c r="K17" s="161"/>
      <c r="L17" s="60"/>
      <c r="M17" s="61" t="s">
        <v>462</v>
      </c>
      <c r="N17" s="115">
        <f>N15*PI()/180</f>
        <v>0.5235987755982988</v>
      </c>
      <c r="O17" s="59" t="s">
        <v>468</v>
      </c>
      <c r="P17" s="60"/>
      <c r="Q17" s="61"/>
      <c r="R17" s="61"/>
      <c r="S17" s="61"/>
      <c r="T17" s="833" t="s">
        <v>963</v>
      </c>
      <c r="U17" s="834"/>
      <c r="V17" s="723">
        <v>0.339</v>
      </c>
      <c r="W17" s="59" t="s">
        <v>3</v>
      </c>
      <c r="X17" s="216"/>
    </row>
    <row r="18" spans="1:24" ht="13.5" thickBot="1">
      <c r="A18" s="221" t="s">
        <v>15</v>
      </c>
      <c r="B18" s="41">
        <f>$B$4*10</f>
        <v>100</v>
      </c>
      <c r="C18" s="303" t="s">
        <v>66</v>
      </c>
      <c r="D18" s="18"/>
      <c r="E18" s="17"/>
      <c r="F18" s="53"/>
      <c r="G18" s="17"/>
      <c r="H18" s="876" t="s">
        <v>309</v>
      </c>
      <c r="I18" s="848"/>
      <c r="J18" s="848"/>
      <c r="K18" s="849"/>
      <c r="L18" s="62"/>
      <c r="M18" s="63"/>
      <c r="N18" s="63"/>
      <c r="O18" s="169"/>
      <c r="P18" s="60"/>
      <c r="Q18" s="61"/>
      <c r="R18" s="61"/>
      <c r="S18" s="61"/>
      <c r="T18" s="833" t="s">
        <v>964</v>
      </c>
      <c r="U18" s="834"/>
      <c r="V18" s="385">
        <v>-55</v>
      </c>
      <c r="W18" s="59" t="s">
        <v>457</v>
      </c>
      <c r="X18" s="216"/>
    </row>
    <row r="19" spans="1:24" ht="12.75">
      <c r="A19" s="221" t="s">
        <v>16</v>
      </c>
      <c r="B19" s="41">
        <f>$B$4*11</f>
        <v>110</v>
      </c>
      <c r="C19" s="303" t="s">
        <v>66</v>
      </c>
      <c r="D19" s="312" t="s">
        <v>6</v>
      </c>
      <c r="E19" s="434">
        <f>(3*10^8)/E15</f>
        <v>138513513.5135135</v>
      </c>
      <c r="F19" s="53" t="s">
        <v>50</v>
      </c>
      <c r="G19" s="295"/>
      <c r="H19" s="33"/>
      <c r="I19" s="35" t="s">
        <v>151</v>
      </c>
      <c r="J19" s="164">
        <f>1/J16^0.5</f>
        <v>0.48795003647426655</v>
      </c>
      <c r="K19" s="161"/>
      <c r="L19" s="824" t="s">
        <v>467</v>
      </c>
      <c r="M19" s="799"/>
      <c r="N19" s="799"/>
      <c r="O19" s="800"/>
      <c r="P19" s="60"/>
      <c r="Q19" s="61"/>
      <c r="R19" s="61"/>
      <c r="S19" s="61"/>
      <c r="T19" s="60"/>
      <c r="U19" s="61"/>
      <c r="V19" s="61"/>
      <c r="W19" s="59"/>
      <c r="X19" s="216"/>
    </row>
    <row r="20" spans="1:24" ht="13.5" thickBot="1">
      <c r="A20" s="221" t="s">
        <v>17</v>
      </c>
      <c r="B20" s="41">
        <f>$B$4*12</f>
        <v>120</v>
      </c>
      <c r="C20" s="303" t="s">
        <v>66</v>
      </c>
      <c r="D20" s="132"/>
      <c r="E20" s="434">
        <f>E19/1000</f>
        <v>138513.5135135135</v>
      </c>
      <c r="F20" s="302" t="s">
        <v>132</v>
      </c>
      <c r="G20" s="295"/>
      <c r="H20" s="876" t="s">
        <v>152</v>
      </c>
      <c r="I20" s="848"/>
      <c r="J20" s="848"/>
      <c r="K20" s="849"/>
      <c r="L20" s="60"/>
      <c r="M20" s="386"/>
      <c r="N20" s="61"/>
      <c r="O20" s="59"/>
      <c r="P20" s="60"/>
      <c r="Q20" s="61" t="s">
        <v>478</v>
      </c>
      <c r="R20" s="61"/>
      <c r="S20" s="61"/>
      <c r="T20" s="997" t="s">
        <v>965</v>
      </c>
      <c r="U20" s="998"/>
      <c r="V20" s="998"/>
      <c r="W20" s="999"/>
      <c r="X20" s="216"/>
    </row>
    <row r="21" spans="1:24" ht="13.5" thickBot="1">
      <c r="A21" s="221" t="s">
        <v>18</v>
      </c>
      <c r="B21" s="41">
        <f>$B$4*13</f>
        <v>130</v>
      </c>
      <c r="C21" s="303" t="s">
        <v>66</v>
      </c>
      <c r="D21" s="435"/>
      <c r="E21" s="434">
        <f>E19/1000000</f>
        <v>138.51351351351352</v>
      </c>
      <c r="F21" s="53" t="s">
        <v>76</v>
      </c>
      <c r="G21" s="16"/>
      <c r="H21" s="33"/>
      <c r="I21" s="34" t="s">
        <v>153</v>
      </c>
      <c r="J21" s="164">
        <f>J15/J19</f>
        <v>10.2469507659596</v>
      </c>
      <c r="K21" s="299" t="s">
        <v>77</v>
      </c>
      <c r="L21" s="60"/>
      <c r="M21" s="335" t="s">
        <v>637</v>
      </c>
      <c r="N21" s="199">
        <v>1</v>
      </c>
      <c r="O21" s="59" t="s">
        <v>468</v>
      </c>
      <c r="P21" s="60"/>
      <c r="Q21" s="61"/>
      <c r="R21" s="61"/>
      <c r="S21" s="61"/>
      <c r="T21" s="997" t="s">
        <v>966</v>
      </c>
      <c r="U21" s="998"/>
      <c r="V21" s="998"/>
      <c r="W21" s="999"/>
      <c r="X21" s="216"/>
    </row>
    <row r="22" spans="1:24" ht="12.75">
      <c r="A22" s="221" t="s">
        <v>19</v>
      </c>
      <c r="B22" s="41">
        <f>$B$4*14</f>
        <v>140</v>
      </c>
      <c r="C22" s="303" t="s">
        <v>66</v>
      </c>
      <c r="D22" s="18"/>
      <c r="E22" s="434">
        <f>E19/1000000000</f>
        <v>0.13851351351351351</v>
      </c>
      <c r="F22" s="53" t="s">
        <v>607</v>
      </c>
      <c r="G22" s="17"/>
      <c r="H22" s="951" t="s">
        <v>310</v>
      </c>
      <c r="I22" s="952"/>
      <c r="J22" s="952"/>
      <c r="K22" s="953"/>
      <c r="L22" s="60"/>
      <c r="M22" s="61"/>
      <c r="N22" s="61"/>
      <c r="O22" s="59"/>
      <c r="P22" s="60"/>
      <c r="Q22" s="61"/>
      <c r="R22" s="61"/>
      <c r="S22" s="61"/>
      <c r="T22" s="997" t="s">
        <v>967</v>
      </c>
      <c r="U22" s="998"/>
      <c r="V22" s="998"/>
      <c r="W22" s="999"/>
      <c r="X22" s="216"/>
    </row>
    <row r="23" spans="1:24" ht="12.75">
      <c r="A23" s="221" t="s">
        <v>27</v>
      </c>
      <c r="B23" s="41">
        <f>$B$4*15</f>
        <v>150</v>
      </c>
      <c r="C23" s="303" t="s">
        <v>66</v>
      </c>
      <c r="D23" s="18"/>
      <c r="E23" s="17"/>
      <c r="F23" s="53"/>
      <c r="G23" s="17"/>
      <c r="H23" s="1022" t="s">
        <v>311</v>
      </c>
      <c r="I23" s="1001"/>
      <c r="J23" s="76">
        <f>(3*10^8)/(J21*2*1000)</f>
        <v>14638.501094227995</v>
      </c>
      <c r="K23" s="298" t="s">
        <v>76</v>
      </c>
      <c r="L23" s="60"/>
      <c r="M23" s="61" t="s">
        <v>469</v>
      </c>
      <c r="N23" s="115">
        <f>N21/PI()*180</f>
        <v>57.29577951308232</v>
      </c>
      <c r="O23" s="59" t="s">
        <v>457</v>
      </c>
      <c r="P23" s="833" t="s">
        <v>458</v>
      </c>
      <c r="Q23" s="834"/>
      <c r="R23" s="115">
        <f>R15*SIN(R16*PI()/180)</f>
        <v>0.7071067811865476</v>
      </c>
      <c r="S23" s="61" t="s">
        <v>3</v>
      </c>
      <c r="T23" s="997" t="s">
        <v>968</v>
      </c>
      <c r="U23" s="998"/>
      <c r="V23" s="998"/>
      <c r="W23" s="999"/>
      <c r="X23" s="216"/>
    </row>
    <row r="24" spans="1:24" ht="13.5" thickBot="1">
      <c r="A24" s="221" t="s">
        <v>28</v>
      </c>
      <c r="B24" s="41">
        <f>$B$4*16</f>
        <v>160</v>
      </c>
      <c r="C24" s="303" t="s">
        <v>66</v>
      </c>
      <c r="D24" s="133"/>
      <c r="E24" s="19"/>
      <c r="F24" s="19"/>
      <c r="G24" s="19"/>
      <c r="H24" s="36"/>
      <c r="I24" s="37"/>
      <c r="J24" s="122"/>
      <c r="K24" s="163"/>
      <c r="L24" s="62"/>
      <c r="M24" s="63"/>
      <c r="N24" s="63"/>
      <c r="O24" s="169"/>
      <c r="P24" s="62"/>
      <c r="Q24" s="63"/>
      <c r="R24" s="63"/>
      <c r="S24" s="63"/>
      <c r="T24" s="60"/>
      <c r="U24" s="61"/>
      <c r="V24" s="61"/>
      <c r="W24" s="59"/>
      <c r="X24" s="216"/>
    </row>
    <row r="25" spans="1:24" ht="12.75">
      <c r="A25" s="221" t="s">
        <v>29</v>
      </c>
      <c r="B25" s="41">
        <f>$B$4*17</f>
        <v>170</v>
      </c>
      <c r="C25" s="303" t="s">
        <v>66</v>
      </c>
      <c r="D25" s="837" t="s">
        <v>65</v>
      </c>
      <c r="E25" s="838"/>
      <c r="F25" s="838"/>
      <c r="G25" s="839"/>
      <c r="H25" s="837" t="s">
        <v>315</v>
      </c>
      <c r="I25" s="838"/>
      <c r="J25" s="838"/>
      <c r="K25" s="839"/>
      <c r="L25" s="816" t="s">
        <v>474</v>
      </c>
      <c r="M25" s="817"/>
      <c r="N25" s="817"/>
      <c r="O25" s="818"/>
      <c r="P25" s="824" t="s">
        <v>498</v>
      </c>
      <c r="Q25" s="799"/>
      <c r="R25" s="799"/>
      <c r="S25" s="799"/>
      <c r="T25" s="60"/>
      <c r="U25" s="335" t="s">
        <v>969</v>
      </c>
      <c r="V25" s="115">
        <f>(V15*COS(V16/180*PI()))+(V17*COS(V18/180*PI()))</f>
        <v>0.5024529582435164</v>
      </c>
      <c r="W25" s="59"/>
      <c r="X25" s="216"/>
    </row>
    <row r="26" spans="1:24" ht="13.5" thickBot="1">
      <c r="A26" s="221" t="s">
        <v>30</v>
      </c>
      <c r="B26" s="41">
        <f>$B$4*18</f>
        <v>180</v>
      </c>
      <c r="C26" s="303" t="s">
        <v>66</v>
      </c>
      <c r="D26" s="15"/>
      <c r="E26" s="16"/>
      <c r="F26" s="16"/>
      <c r="G26" s="78"/>
      <c r="H26" s="15"/>
      <c r="I26" s="16"/>
      <c r="J26" s="16"/>
      <c r="K26" s="78"/>
      <c r="P26" s="60"/>
      <c r="Q26" s="61"/>
      <c r="R26" s="61"/>
      <c r="S26" s="61"/>
      <c r="T26" s="60"/>
      <c r="U26" s="335" t="s">
        <v>970</v>
      </c>
      <c r="V26" s="115">
        <f>(V15*SIN(V16/180*PI()))+(V17*SIN(V18/180*PI()))</f>
        <v>0.1621921047692204</v>
      </c>
      <c r="W26" s="59"/>
      <c r="X26" s="216"/>
    </row>
    <row r="27" spans="1:24" ht="13.5" thickBot="1">
      <c r="A27" s="221" t="s">
        <v>137</v>
      </c>
      <c r="B27" s="41">
        <f>$B$4*19</f>
        <v>190</v>
      </c>
      <c r="C27" s="303" t="s">
        <v>66</v>
      </c>
      <c r="D27" s="312" t="s">
        <v>348</v>
      </c>
      <c r="E27" s="731">
        <v>242500000</v>
      </c>
      <c r="F27" s="53" t="s">
        <v>50</v>
      </c>
      <c r="G27" s="78"/>
      <c r="H27" s="796" t="s">
        <v>408</v>
      </c>
      <c r="I27" s="929"/>
      <c r="J27" s="118">
        <v>10</v>
      </c>
      <c r="K27" s="78" t="s">
        <v>123</v>
      </c>
      <c r="L27" s="436"/>
      <c r="P27" s="833" t="s">
        <v>463</v>
      </c>
      <c r="Q27" s="834"/>
      <c r="R27" s="384">
        <v>1</v>
      </c>
      <c r="S27" s="61" t="s">
        <v>3</v>
      </c>
      <c r="T27" s="833" t="s">
        <v>971</v>
      </c>
      <c r="U27" s="834"/>
      <c r="V27" s="115">
        <f>(V25^2+V26^2)^0.5</f>
        <v>0.5279822478996151</v>
      </c>
      <c r="W27" s="59" t="s">
        <v>3</v>
      </c>
      <c r="X27" s="216"/>
    </row>
    <row r="28" spans="1:24" ht="13.5" thickBot="1">
      <c r="A28" s="221" t="s">
        <v>138</v>
      </c>
      <c r="B28" s="41">
        <f>$B$4*20</f>
        <v>200</v>
      </c>
      <c r="C28" s="303" t="s">
        <v>66</v>
      </c>
      <c r="D28" s="804"/>
      <c r="E28" s="805"/>
      <c r="F28" s="53"/>
      <c r="G28" s="296"/>
      <c r="H28" s="15"/>
      <c r="I28" s="356" t="s">
        <v>330</v>
      </c>
      <c r="J28" s="119">
        <v>-9</v>
      </c>
      <c r="K28" s="78"/>
      <c r="L28" s="436"/>
      <c r="P28" s="833" t="s">
        <v>465</v>
      </c>
      <c r="Q28" s="834"/>
      <c r="R28" s="385">
        <f>R23</f>
        <v>0.7071067811865476</v>
      </c>
      <c r="S28" s="61" t="s">
        <v>3</v>
      </c>
      <c r="T28" s="833" t="s">
        <v>972</v>
      </c>
      <c r="U28" s="834"/>
      <c r="V28" s="115">
        <f>ATAN(V26/V25)*180/PI()</f>
        <v>17.89010935270537</v>
      </c>
      <c r="W28" s="59" t="s">
        <v>457</v>
      </c>
      <c r="X28" s="216"/>
    </row>
    <row r="29" spans="1:24" ht="13.5" thickBot="1">
      <c r="A29" s="221"/>
      <c r="B29" s="41"/>
      <c r="C29" s="29"/>
      <c r="D29" s="804" t="s">
        <v>57</v>
      </c>
      <c r="E29" s="805"/>
      <c r="F29" s="805"/>
      <c r="G29" s="433"/>
      <c r="H29" s="796" t="s">
        <v>6</v>
      </c>
      <c r="I29" s="929"/>
      <c r="J29" s="80">
        <f>1/(J27*10^J28)</f>
        <v>100000000</v>
      </c>
      <c r="K29" s="78" t="s">
        <v>50</v>
      </c>
      <c r="L29" s="436"/>
      <c r="P29" s="60"/>
      <c r="Q29" s="61"/>
      <c r="R29" s="61"/>
      <c r="S29" s="61"/>
      <c r="T29" s="60"/>
      <c r="U29" s="61"/>
      <c r="V29" s="61"/>
      <c r="W29" s="59"/>
      <c r="X29" s="216"/>
    </row>
    <row r="30" spans="1:23" ht="12.75">
      <c r="A30" s="862" t="s">
        <v>636</v>
      </c>
      <c r="B30" s="862"/>
      <c r="C30" s="863"/>
      <c r="D30" s="18"/>
      <c r="E30" s="17"/>
      <c r="F30" s="53"/>
      <c r="G30" s="83"/>
      <c r="H30" s="15"/>
      <c r="I30" s="16"/>
      <c r="J30" s="80">
        <f>J29/1000000</f>
        <v>100</v>
      </c>
      <c r="K30" s="78" t="s">
        <v>76</v>
      </c>
      <c r="P30" s="60"/>
      <c r="Q30" s="61"/>
      <c r="R30" s="61"/>
      <c r="S30" s="61"/>
      <c r="T30" s="60"/>
      <c r="U30" s="61"/>
      <c r="V30" s="61"/>
      <c r="W30" s="59"/>
    </row>
    <row r="31" spans="1:23" ht="13.5" thickBot="1">
      <c r="A31" s="21"/>
      <c r="B31" s="21"/>
      <c r="C31" s="22"/>
      <c r="D31" s="312" t="s">
        <v>319</v>
      </c>
      <c r="E31" s="434">
        <f>(3*10^8)/E27</f>
        <v>1.2371134020618557</v>
      </c>
      <c r="F31" s="53" t="s">
        <v>56</v>
      </c>
      <c r="G31" s="78"/>
      <c r="H31" s="15"/>
      <c r="I31" s="16"/>
      <c r="J31" s="16"/>
      <c r="K31" s="78"/>
      <c r="L31" s="436"/>
      <c r="P31" s="60"/>
      <c r="Q31" s="61"/>
      <c r="R31" s="61"/>
      <c r="S31" s="61"/>
      <c r="T31" s="833"/>
      <c r="U31" s="834"/>
      <c r="V31" s="115"/>
      <c r="W31" s="59"/>
    </row>
    <row r="32" spans="1:23" ht="12.75">
      <c r="A32" s="222" t="s">
        <v>348</v>
      </c>
      <c r="B32" s="118">
        <v>300</v>
      </c>
      <c r="C32" s="303" t="s">
        <v>66</v>
      </c>
      <c r="D32" s="312" t="s">
        <v>628</v>
      </c>
      <c r="E32" s="434">
        <f>E31/4</f>
        <v>0.30927835051546393</v>
      </c>
      <c r="F32" s="53" t="s">
        <v>56</v>
      </c>
      <c r="G32" s="78"/>
      <c r="H32" s="796" t="s">
        <v>348</v>
      </c>
      <c r="I32" s="929"/>
      <c r="J32" s="118">
        <v>240.5</v>
      </c>
      <c r="K32" s="78" t="s">
        <v>50</v>
      </c>
      <c r="P32" s="60"/>
      <c r="Q32" s="61" t="s">
        <v>477</v>
      </c>
      <c r="R32" s="61"/>
      <c r="S32" s="61"/>
      <c r="T32" s="833"/>
      <c r="U32" s="834"/>
      <c r="V32" s="115"/>
      <c r="W32" s="59"/>
    </row>
    <row r="33" spans="1:23" ht="13.5" thickBot="1">
      <c r="A33" s="222" t="s">
        <v>401</v>
      </c>
      <c r="B33" s="119">
        <v>30</v>
      </c>
      <c r="C33" s="303" t="s">
        <v>66</v>
      </c>
      <c r="D33" s="312" t="s">
        <v>628</v>
      </c>
      <c r="E33" s="434">
        <f>E32*1000</f>
        <v>309.27835051546396</v>
      </c>
      <c r="F33" s="53" t="s">
        <v>77</v>
      </c>
      <c r="G33" s="78"/>
      <c r="H33" s="930" t="s">
        <v>330</v>
      </c>
      <c r="I33" s="929"/>
      <c r="J33" s="119">
        <v>6</v>
      </c>
      <c r="K33" s="78"/>
      <c r="P33" s="60"/>
      <c r="Q33" s="61"/>
      <c r="R33" s="61"/>
      <c r="S33" s="61"/>
      <c r="T33" s="833"/>
      <c r="U33" s="834"/>
      <c r="V33" s="115"/>
      <c r="W33" s="59"/>
    </row>
    <row r="34" spans="1:23" ht="12.75">
      <c r="A34" s="319"/>
      <c r="B34" s="319"/>
      <c r="C34" s="319"/>
      <c r="D34" s="312" t="s">
        <v>629</v>
      </c>
      <c r="E34" s="434">
        <f>E31/2</f>
        <v>0.6185567010309279</v>
      </c>
      <c r="F34" s="53" t="s">
        <v>56</v>
      </c>
      <c r="G34" s="83"/>
      <c r="H34" s="796" t="s">
        <v>316</v>
      </c>
      <c r="I34" s="929"/>
      <c r="J34" s="80">
        <f>1/(J32*10^J33)</f>
        <v>4.158004158004158E-09</v>
      </c>
      <c r="K34" s="78" t="s">
        <v>123</v>
      </c>
      <c r="P34" s="60"/>
      <c r="Q34" s="61"/>
      <c r="R34" s="61"/>
      <c r="S34" s="61"/>
      <c r="T34" s="60"/>
      <c r="U34" s="61"/>
      <c r="V34" s="61"/>
      <c r="W34" s="59"/>
    </row>
    <row r="35" spans="1:23" ht="12.75">
      <c r="A35" s="222" t="s">
        <v>250</v>
      </c>
      <c r="B35" s="41">
        <f>B32/B33</f>
        <v>10</v>
      </c>
      <c r="C35" s="303" t="s">
        <v>66</v>
      </c>
      <c r="D35" s="312" t="s">
        <v>629</v>
      </c>
      <c r="E35" s="434">
        <f>E34*1000</f>
        <v>618.5567010309279</v>
      </c>
      <c r="F35" s="53" t="s">
        <v>77</v>
      </c>
      <c r="G35" s="83"/>
      <c r="H35" s="796" t="s">
        <v>316</v>
      </c>
      <c r="I35" s="929"/>
      <c r="J35" s="258">
        <f>J34*1000000</f>
        <v>0.004158004158004158</v>
      </c>
      <c r="K35" s="78" t="s">
        <v>916</v>
      </c>
      <c r="P35" s="833" t="s">
        <v>460</v>
      </c>
      <c r="Q35" s="834"/>
      <c r="R35" s="115">
        <f>ASIN((R28/R27))/PI()*180</f>
        <v>45.00000000000001</v>
      </c>
      <c r="S35" s="61" t="s">
        <v>457</v>
      </c>
      <c r="T35" s="833"/>
      <c r="U35" s="834"/>
      <c r="V35" s="115"/>
      <c r="W35" s="59"/>
    </row>
    <row r="36" spans="1:23" ht="13.5" thickBot="1">
      <c r="A36" s="27"/>
      <c r="B36" s="27"/>
      <c r="C36" s="28"/>
      <c r="D36" s="133"/>
      <c r="E36" s="19"/>
      <c r="F36" s="19"/>
      <c r="G36" s="297"/>
      <c r="H36" s="313"/>
      <c r="I36" s="314"/>
      <c r="J36" s="314"/>
      <c r="K36" s="134"/>
      <c r="P36" s="60"/>
      <c r="Q36" s="61"/>
      <c r="R36" s="61"/>
      <c r="S36" s="61"/>
      <c r="T36" s="1040"/>
      <c r="U36" s="1041"/>
      <c r="V36" s="131"/>
      <c r="W36" s="169"/>
    </row>
    <row r="37" spans="1:23" ht="12.75">
      <c r="A37" s="974" t="s">
        <v>251</v>
      </c>
      <c r="B37" s="975"/>
      <c r="C37" s="976"/>
      <c r="D37" s="236"/>
      <c r="E37" s="238" t="s">
        <v>249</v>
      </c>
      <c r="F37" s="238"/>
      <c r="G37" s="237"/>
      <c r="H37" s="974" t="s">
        <v>259</v>
      </c>
      <c r="I37" s="975"/>
      <c r="J37" s="975"/>
      <c r="K37" s="975"/>
      <c r="L37" s="975"/>
      <c r="M37" s="975"/>
      <c r="N37" s="975"/>
      <c r="O37" s="975"/>
      <c r="P37" s="924" t="s">
        <v>927</v>
      </c>
      <c r="Q37" s="925"/>
      <c r="R37" s="925"/>
      <c r="S37" s="926"/>
      <c r="T37" s="1026" t="s">
        <v>642</v>
      </c>
      <c r="U37" s="1027"/>
      <c r="V37" s="1027"/>
      <c r="W37" s="1028"/>
    </row>
    <row r="38" spans="1:23" ht="13.5" thickBot="1">
      <c r="A38" s="984" t="s">
        <v>254</v>
      </c>
      <c r="B38" s="985"/>
      <c r="C38" s="986"/>
      <c r="D38" s="984" t="s">
        <v>296</v>
      </c>
      <c r="E38" s="985"/>
      <c r="F38" s="985"/>
      <c r="G38" s="986"/>
      <c r="H38" s="288"/>
      <c r="I38" s="246"/>
      <c r="J38" s="247"/>
      <c r="K38" s="247"/>
      <c r="L38" s="246"/>
      <c r="M38" s="247"/>
      <c r="N38" s="247"/>
      <c r="O38" s="228"/>
      <c r="P38" s="520"/>
      <c r="Q38" s="519"/>
      <c r="R38" s="68"/>
      <c r="S38" s="96"/>
      <c r="T38" s="484"/>
      <c r="U38" s="485"/>
      <c r="V38" s="485"/>
      <c r="W38" s="486"/>
    </row>
    <row r="39" spans="1:23" ht="13.5" thickBot="1">
      <c r="A39" s="234"/>
      <c r="B39" s="226"/>
      <c r="C39" s="235"/>
      <c r="D39" s="227"/>
      <c r="E39" s="228"/>
      <c r="F39" s="228"/>
      <c r="G39" s="224"/>
      <c r="H39" s="234"/>
      <c r="I39" s="226"/>
      <c r="J39" s="277" t="s">
        <v>260</v>
      </c>
      <c r="K39" s="278"/>
      <c r="L39" s="277"/>
      <c r="M39" s="278"/>
      <c r="N39" s="247"/>
      <c r="O39" s="278" t="s">
        <v>312</v>
      </c>
      <c r="P39" s="520"/>
      <c r="Q39" s="70" t="s">
        <v>664</v>
      </c>
      <c r="R39" s="145">
        <v>2.1</v>
      </c>
      <c r="S39" s="96"/>
      <c r="T39" s="1037" t="s">
        <v>638</v>
      </c>
      <c r="U39" s="1038"/>
      <c r="V39" s="496">
        <v>0.0043473</v>
      </c>
      <c r="W39" s="487" t="s">
        <v>56</v>
      </c>
    </row>
    <row r="40" spans="1:23" ht="15" thickBot="1">
      <c r="A40" s="290" t="s">
        <v>273</v>
      </c>
      <c r="B40" s="226" t="s">
        <v>256</v>
      </c>
      <c r="C40" s="229"/>
      <c r="D40" s="275" t="s">
        <v>274</v>
      </c>
      <c r="E40" s="226" t="s">
        <v>257</v>
      </c>
      <c r="F40" s="226" t="s">
        <v>258</v>
      </c>
      <c r="G40" s="276" t="s">
        <v>269</v>
      </c>
      <c r="H40" s="290" t="s">
        <v>269</v>
      </c>
      <c r="I40" s="248" t="s">
        <v>255</v>
      </c>
      <c r="J40" s="277" t="s">
        <v>261</v>
      </c>
      <c r="K40" s="277" t="s">
        <v>262</v>
      </c>
      <c r="L40" s="277" t="s">
        <v>263</v>
      </c>
      <c r="M40" s="277" t="s">
        <v>275</v>
      </c>
      <c r="N40" s="278" t="s">
        <v>303</v>
      </c>
      <c r="O40" s="278" t="s">
        <v>313</v>
      </c>
      <c r="P40" s="520"/>
      <c r="Q40" s="68"/>
      <c r="R40" s="68"/>
      <c r="S40" s="96"/>
      <c r="T40" s="1037" t="s">
        <v>649</v>
      </c>
      <c r="U40" s="1038"/>
      <c r="V40" s="497">
        <f>V58</f>
        <v>0</v>
      </c>
      <c r="W40" s="488"/>
    </row>
    <row r="41" spans="1:23" ht="12.75">
      <c r="A41" s="290">
        <v>1</v>
      </c>
      <c r="B41" s="243">
        <v>892</v>
      </c>
      <c r="C41" s="230">
        <f>IF(B41&gt;0,1,0)</f>
        <v>1</v>
      </c>
      <c r="D41" s="290">
        <f>IF(E41&gt;0,((E41-F41)/E41)^2,0)</f>
        <v>0.0004</v>
      </c>
      <c r="E41" s="281">
        <v>100</v>
      </c>
      <c r="F41" s="279">
        <v>98</v>
      </c>
      <c r="G41" s="276">
        <f>IF(F41&gt;0,1,0)</f>
        <v>1</v>
      </c>
      <c r="H41" s="290">
        <f>IF(I41&gt;0,1,0)</f>
        <v>1</v>
      </c>
      <c r="I41" s="243">
        <v>892</v>
      </c>
      <c r="J41" s="274">
        <f>A41*I41</f>
        <v>892</v>
      </c>
      <c r="K41" s="277">
        <f>IF(H41&gt;0,A41,0)</f>
        <v>1</v>
      </c>
      <c r="L41" s="277">
        <f>IF(H41&gt;0,K41^2,0)</f>
        <v>1</v>
      </c>
      <c r="M41" s="274">
        <f aca="true" t="shared" si="0" ref="M41:M60">IF(H41&gt;0,(I41-$M$69*K41-$M$70)^2,0)</f>
        <v>3882.674567901237</v>
      </c>
      <c r="N41" s="242">
        <f aca="true" t="shared" si="1" ref="N41:N60">IF(H41&gt;0,($M$70-I41),0)</f>
        <v>-52.111111111111086</v>
      </c>
      <c r="O41" s="242">
        <f>IF(N42=0,0,(N42-N41)^2)</f>
        <v>6889</v>
      </c>
      <c r="P41" s="917" t="s">
        <v>665</v>
      </c>
      <c r="Q41" s="918"/>
      <c r="R41" s="918"/>
      <c r="S41" s="919"/>
      <c r="T41" s="1037"/>
      <c r="U41" s="1038"/>
      <c r="V41" s="489"/>
      <c r="W41" s="488"/>
    </row>
    <row r="42" spans="1:23" ht="12.75">
      <c r="A42" s="290">
        <f>A41+1</f>
        <v>2</v>
      </c>
      <c r="B42" s="244">
        <v>809</v>
      </c>
      <c r="C42" s="230">
        <f aca="true" t="shared" si="2" ref="C42:C60">IF(B42&gt;0,1,0)</f>
        <v>1</v>
      </c>
      <c r="D42" s="290">
        <f aca="true" t="shared" si="3" ref="D42:D60">IF(E42&gt;0,((E42-F42)/E42)^2,0)</f>
        <v>0.0004</v>
      </c>
      <c r="E42" s="282">
        <v>100</v>
      </c>
      <c r="F42" s="280">
        <v>98</v>
      </c>
      <c r="G42" s="276">
        <f aca="true" t="shared" si="4" ref="G42:G60">IF(F42&gt;0,1,0)</f>
        <v>1</v>
      </c>
      <c r="H42" s="290">
        <f aca="true" t="shared" si="5" ref="H42:H60">IF(I42&gt;0,1,0)</f>
        <v>1</v>
      </c>
      <c r="I42" s="244">
        <v>809</v>
      </c>
      <c r="J42" s="274">
        <f aca="true" t="shared" si="6" ref="J42:J60">A42*I42</f>
        <v>1618</v>
      </c>
      <c r="K42" s="277">
        <f aca="true" t="shared" si="7" ref="K42:K60">IF(H42&gt;0,A42,0)</f>
        <v>2</v>
      </c>
      <c r="L42" s="277">
        <f aca="true" t="shared" si="8" ref="L42:L60">IF(H42&gt;0,K42^2,0)</f>
        <v>4</v>
      </c>
      <c r="M42" s="274">
        <f t="shared" si="0"/>
        <v>110.0167901234578</v>
      </c>
      <c r="N42" s="242">
        <f t="shared" si="1"/>
        <v>30.888888888888914</v>
      </c>
      <c r="O42" s="242">
        <f aca="true" t="shared" si="9" ref="O42:O59">IF(N43=0,0,(N43-N42)^2)</f>
        <v>196</v>
      </c>
      <c r="P42" s="520"/>
      <c r="Q42" s="68"/>
      <c r="R42" s="68"/>
      <c r="S42" s="96"/>
      <c r="T42" s="1037" t="s">
        <v>644</v>
      </c>
      <c r="U42" s="1038"/>
      <c r="V42" s="490" t="e">
        <f>V39/V40</f>
        <v>#DIV/0!</v>
      </c>
      <c r="W42" s="491" t="s">
        <v>56</v>
      </c>
    </row>
    <row r="43" spans="1:23" ht="12.75">
      <c r="A43" s="290">
        <f aca="true" t="shared" si="10" ref="A43:A60">A42+1</f>
        <v>3</v>
      </c>
      <c r="B43" s="244">
        <v>823</v>
      </c>
      <c r="C43" s="230">
        <f t="shared" si="2"/>
        <v>1</v>
      </c>
      <c r="D43" s="290">
        <f t="shared" si="3"/>
        <v>0.0004</v>
      </c>
      <c r="E43" s="282">
        <v>100</v>
      </c>
      <c r="F43" s="280">
        <v>98</v>
      </c>
      <c r="G43" s="276">
        <f t="shared" si="4"/>
        <v>1</v>
      </c>
      <c r="H43" s="290">
        <f t="shared" si="5"/>
        <v>1</v>
      </c>
      <c r="I43" s="244">
        <v>823</v>
      </c>
      <c r="J43" s="274">
        <f t="shared" si="6"/>
        <v>2469</v>
      </c>
      <c r="K43" s="277">
        <f t="shared" si="7"/>
        <v>3</v>
      </c>
      <c r="L43" s="277">
        <f t="shared" si="8"/>
        <v>9</v>
      </c>
      <c r="M43" s="274">
        <f t="shared" si="0"/>
        <v>187.9945679012345</v>
      </c>
      <c r="N43" s="242">
        <f t="shared" si="1"/>
        <v>16.888888888888914</v>
      </c>
      <c r="O43" s="242">
        <f t="shared" si="9"/>
        <v>625</v>
      </c>
      <c r="P43" s="520"/>
      <c r="Q43" s="70" t="s">
        <v>666</v>
      </c>
      <c r="R43" s="114">
        <f>1/R39^0.5</f>
        <v>0.6900655593423541</v>
      </c>
      <c r="S43" s="96"/>
      <c r="T43" s="492"/>
      <c r="U43" s="485"/>
      <c r="V43" s="485"/>
      <c r="W43" s="488"/>
    </row>
    <row r="44" spans="1:23" ht="13.5" thickBot="1">
      <c r="A44" s="290">
        <f t="shared" si="10"/>
        <v>4</v>
      </c>
      <c r="B44" s="244">
        <v>798</v>
      </c>
      <c r="C44" s="230">
        <f t="shared" si="2"/>
        <v>1</v>
      </c>
      <c r="D44" s="290">
        <f t="shared" si="3"/>
        <v>0.0004</v>
      </c>
      <c r="E44" s="282">
        <v>100</v>
      </c>
      <c r="F44" s="280">
        <v>98</v>
      </c>
      <c r="G44" s="276">
        <f t="shared" si="4"/>
        <v>1</v>
      </c>
      <c r="H44" s="290">
        <f t="shared" si="5"/>
        <v>1</v>
      </c>
      <c r="I44" s="244">
        <v>798</v>
      </c>
      <c r="J44" s="274">
        <f t="shared" si="6"/>
        <v>3192</v>
      </c>
      <c r="K44" s="277">
        <f t="shared" si="7"/>
        <v>4</v>
      </c>
      <c r="L44" s="277">
        <f t="shared" si="8"/>
        <v>16</v>
      </c>
      <c r="M44" s="274">
        <f t="shared" si="0"/>
        <v>1.1856790123458332</v>
      </c>
      <c r="N44" s="242">
        <f t="shared" si="1"/>
        <v>41.888888888888914</v>
      </c>
      <c r="O44" s="242">
        <f t="shared" si="9"/>
        <v>16129</v>
      </c>
      <c r="P44" s="521"/>
      <c r="Q44" s="69"/>
      <c r="R44" s="69"/>
      <c r="S44" s="104"/>
      <c r="T44" s="1037" t="s">
        <v>648</v>
      </c>
      <c r="U44" s="1038"/>
      <c r="V44" s="493" t="s">
        <v>645</v>
      </c>
      <c r="W44" s="491" t="s">
        <v>486</v>
      </c>
    </row>
    <row r="45" spans="1:23" ht="12.75" customHeight="1">
      <c r="A45" s="290">
        <f t="shared" si="10"/>
        <v>5</v>
      </c>
      <c r="B45" s="244">
        <v>671</v>
      </c>
      <c r="C45" s="230">
        <f t="shared" si="2"/>
        <v>1</v>
      </c>
      <c r="D45" s="290">
        <f t="shared" si="3"/>
        <v>0.0004</v>
      </c>
      <c r="E45" s="282">
        <v>100</v>
      </c>
      <c r="F45" s="280">
        <v>98</v>
      </c>
      <c r="G45" s="276">
        <f t="shared" si="4"/>
        <v>1</v>
      </c>
      <c r="H45" s="290">
        <f t="shared" si="5"/>
        <v>1</v>
      </c>
      <c r="I45" s="244">
        <v>671</v>
      </c>
      <c r="J45" s="274">
        <f t="shared" si="6"/>
        <v>3355</v>
      </c>
      <c r="K45" s="277">
        <f t="shared" si="7"/>
        <v>5</v>
      </c>
      <c r="L45" s="277">
        <f t="shared" si="8"/>
        <v>25</v>
      </c>
      <c r="M45" s="274">
        <f t="shared" si="0"/>
        <v>13897.790123456796</v>
      </c>
      <c r="N45" s="242">
        <f t="shared" si="1"/>
        <v>168.8888888888889</v>
      </c>
      <c r="O45" s="242">
        <f t="shared" si="9"/>
        <v>729</v>
      </c>
      <c r="P45" s="924" t="s">
        <v>930</v>
      </c>
      <c r="Q45" s="925"/>
      <c r="R45" s="925"/>
      <c r="S45" s="926"/>
      <c r="T45" s="492"/>
      <c r="U45" s="485"/>
      <c r="V45" s="485"/>
      <c r="W45" s="494"/>
    </row>
    <row r="46" spans="1:23" ht="13.5" thickBot="1">
      <c r="A46" s="290">
        <f t="shared" si="10"/>
        <v>6</v>
      </c>
      <c r="B46" s="244">
        <v>644</v>
      </c>
      <c r="C46" s="230">
        <f t="shared" si="2"/>
        <v>1</v>
      </c>
      <c r="D46" s="290">
        <f t="shared" si="3"/>
        <v>0.0004</v>
      </c>
      <c r="E46" s="282">
        <v>100</v>
      </c>
      <c r="F46" s="280">
        <v>98</v>
      </c>
      <c r="G46" s="276">
        <f t="shared" si="4"/>
        <v>1</v>
      </c>
      <c r="H46" s="290">
        <f t="shared" si="5"/>
        <v>1</v>
      </c>
      <c r="I46" s="244">
        <v>644</v>
      </c>
      <c r="J46" s="274">
        <f t="shared" si="6"/>
        <v>3864</v>
      </c>
      <c r="K46" s="277">
        <f t="shared" si="7"/>
        <v>6</v>
      </c>
      <c r="L46" s="277">
        <f t="shared" si="8"/>
        <v>36</v>
      </c>
      <c r="M46" s="274">
        <f t="shared" si="0"/>
        <v>18141.09679012345</v>
      </c>
      <c r="N46" s="242">
        <f t="shared" si="1"/>
        <v>195.8888888888889</v>
      </c>
      <c r="O46" s="242">
        <f t="shared" si="9"/>
        <v>57121</v>
      </c>
      <c r="P46" s="520"/>
      <c r="Q46" s="519"/>
      <c r="R46" s="68"/>
      <c r="S46" s="96"/>
      <c r="T46" s="492"/>
      <c r="U46" s="1039" t="s">
        <v>647</v>
      </c>
      <c r="V46" s="1039"/>
      <c r="W46" s="488"/>
    </row>
    <row r="47" spans="1:23" ht="12.75">
      <c r="A47" s="290">
        <f t="shared" si="10"/>
        <v>7</v>
      </c>
      <c r="B47" s="244">
        <v>883</v>
      </c>
      <c r="C47" s="230">
        <f t="shared" si="2"/>
        <v>1</v>
      </c>
      <c r="D47" s="290">
        <f t="shared" si="3"/>
        <v>0.0004</v>
      </c>
      <c r="E47" s="282">
        <v>100</v>
      </c>
      <c r="F47" s="280">
        <v>98</v>
      </c>
      <c r="G47" s="276">
        <f t="shared" si="4"/>
        <v>1</v>
      </c>
      <c r="H47" s="290">
        <f t="shared" si="5"/>
        <v>1</v>
      </c>
      <c r="I47" s="244">
        <v>883</v>
      </c>
      <c r="J47" s="274">
        <f t="shared" si="6"/>
        <v>6181</v>
      </c>
      <c r="K47" s="277">
        <f t="shared" si="7"/>
        <v>7</v>
      </c>
      <c r="L47" s="277">
        <f t="shared" si="8"/>
        <v>49</v>
      </c>
      <c r="M47" s="274">
        <f t="shared" si="0"/>
        <v>13112.794567901223</v>
      </c>
      <c r="N47" s="242">
        <f t="shared" si="1"/>
        <v>-43.111111111111086</v>
      </c>
      <c r="O47" s="242">
        <f t="shared" si="9"/>
        <v>400</v>
      </c>
      <c r="P47" s="520"/>
      <c r="Q47" s="70" t="s">
        <v>922</v>
      </c>
      <c r="R47" s="496">
        <v>66.52</v>
      </c>
      <c r="S47" s="342" t="s">
        <v>196</v>
      </c>
      <c r="T47" s="492"/>
      <c r="U47" s="485"/>
      <c r="V47" s="485"/>
      <c r="W47" s="488"/>
    </row>
    <row r="48" spans="1:23" ht="13.5" thickBot="1">
      <c r="A48" s="290">
        <f t="shared" si="10"/>
        <v>8</v>
      </c>
      <c r="B48" s="244">
        <v>903</v>
      </c>
      <c r="C48" s="230">
        <f t="shared" si="2"/>
        <v>1</v>
      </c>
      <c r="D48" s="290">
        <f t="shared" si="3"/>
        <v>0.0004</v>
      </c>
      <c r="E48" s="282">
        <v>100</v>
      </c>
      <c r="F48" s="280">
        <v>98</v>
      </c>
      <c r="G48" s="276">
        <f t="shared" si="4"/>
        <v>1</v>
      </c>
      <c r="H48" s="290">
        <f t="shared" si="5"/>
        <v>1</v>
      </c>
      <c r="I48" s="244">
        <v>903</v>
      </c>
      <c r="J48" s="274">
        <f t="shared" si="6"/>
        <v>7224</v>
      </c>
      <c r="K48" s="277">
        <f t="shared" si="7"/>
        <v>8</v>
      </c>
      <c r="L48" s="277">
        <f t="shared" si="8"/>
        <v>64</v>
      </c>
      <c r="M48" s="274">
        <f t="shared" si="0"/>
        <v>20941.305679012345</v>
      </c>
      <c r="N48" s="242">
        <f t="shared" si="1"/>
        <v>-63.111111111111086</v>
      </c>
      <c r="O48" s="242">
        <f t="shared" si="9"/>
        <v>51076</v>
      </c>
      <c r="P48" s="520"/>
      <c r="Q48" s="70" t="s">
        <v>923</v>
      </c>
      <c r="R48" s="497">
        <v>0.167</v>
      </c>
      <c r="S48" s="308" t="s">
        <v>925</v>
      </c>
      <c r="T48" s="492"/>
      <c r="U48" s="495" t="s">
        <v>646</v>
      </c>
      <c r="V48" s="524" t="e">
        <f>V42/(3*10^8)</f>
        <v>#DIV/0!</v>
      </c>
      <c r="W48" s="491" t="s">
        <v>917</v>
      </c>
    </row>
    <row r="49" spans="1:23" ht="12.75">
      <c r="A49" s="290">
        <f t="shared" si="10"/>
        <v>9</v>
      </c>
      <c r="B49" s="244">
        <v>677</v>
      </c>
      <c r="C49" s="230">
        <f t="shared" si="2"/>
        <v>1</v>
      </c>
      <c r="D49" s="290">
        <f t="shared" si="3"/>
        <v>0.0004</v>
      </c>
      <c r="E49" s="282">
        <v>100</v>
      </c>
      <c r="F49" s="280">
        <v>98</v>
      </c>
      <c r="G49" s="276">
        <f t="shared" si="4"/>
        <v>1</v>
      </c>
      <c r="H49" s="290">
        <f t="shared" si="5"/>
        <v>1</v>
      </c>
      <c r="I49" s="244">
        <v>677</v>
      </c>
      <c r="J49" s="274">
        <f t="shared" si="6"/>
        <v>6093</v>
      </c>
      <c r="K49" s="277">
        <f t="shared" si="7"/>
        <v>9</v>
      </c>
      <c r="L49" s="277">
        <f t="shared" si="8"/>
        <v>81</v>
      </c>
      <c r="M49" s="274">
        <f t="shared" si="0"/>
        <v>5053.6301234568</v>
      </c>
      <c r="N49" s="242">
        <f t="shared" si="1"/>
        <v>162.8888888888889</v>
      </c>
      <c r="O49" s="242">
        <f t="shared" si="9"/>
        <v>0</v>
      </c>
      <c r="P49" s="520"/>
      <c r="Q49" s="68"/>
      <c r="R49" s="68"/>
      <c r="S49" s="96"/>
      <c r="T49" s="492"/>
      <c r="U49" s="495" t="s">
        <v>646</v>
      </c>
      <c r="V49" s="524" t="e">
        <f>V48*10^9</f>
        <v>#DIV/0!</v>
      </c>
      <c r="W49" s="487" t="s">
        <v>918</v>
      </c>
    </row>
    <row r="50" spans="1:23" ht="12.75">
      <c r="A50" s="290">
        <f t="shared" si="10"/>
        <v>10</v>
      </c>
      <c r="B50" s="141">
        <v>0</v>
      </c>
      <c r="C50" s="230">
        <f t="shared" si="2"/>
        <v>0</v>
      </c>
      <c r="D50" s="290">
        <f t="shared" si="3"/>
        <v>0.0004</v>
      </c>
      <c r="E50" s="282">
        <v>100</v>
      </c>
      <c r="F50" s="280">
        <v>98</v>
      </c>
      <c r="G50" s="276">
        <f t="shared" si="4"/>
        <v>1</v>
      </c>
      <c r="H50" s="290">
        <f t="shared" si="5"/>
        <v>0</v>
      </c>
      <c r="I50" s="244">
        <v>0</v>
      </c>
      <c r="J50" s="274">
        <f t="shared" si="6"/>
        <v>0</v>
      </c>
      <c r="K50" s="277">
        <f t="shared" si="7"/>
        <v>0</v>
      </c>
      <c r="L50" s="277">
        <f t="shared" si="8"/>
        <v>0</v>
      </c>
      <c r="M50" s="274">
        <f t="shared" si="0"/>
        <v>0</v>
      </c>
      <c r="N50" s="242">
        <f t="shared" si="1"/>
        <v>0</v>
      </c>
      <c r="O50" s="242">
        <f t="shared" si="9"/>
        <v>0</v>
      </c>
      <c r="P50" s="917" t="s">
        <v>921</v>
      </c>
      <c r="Q50" s="918"/>
      <c r="R50" s="918"/>
      <c r="S50" s="919"/>
      <c r="T50" s="492"/>
      <c r="U50" s="495" t="s">
        <v>646</v>
      </c>
      <c r="V50" s="524" t="e">
        <f>V49*10^3</f>
        <v>#DIV/0!</v>
      </c>
      <c r="W50" s="487" t="s">
        <v>919</v>
      </c>
    </row>
    <row r="51" spans="1:23" ht="12.75" customHeight="1" thickBot="1">
      <c r="A51" s="290">
        <f t="shared" si="10"/>
        <v>11</v>
      </c>
      <c r="B51" s="141">
        <v>0</v>
      </c>
      <c r="C51" s="230">
        <f t="shared" si="2"/>
        <v>0</v>
      </c>
      <c r="D51" s="290">
        <f t="shared" si="3"/>
        <v>0</v>
      </c>
      <c r="E51" s="239">
        <v>0</v>
      </c>
      <c r="F51" s="225">
        <v>0</v>
      </c>
      <c r="G51" s="276">
        <f t="shared" si="4"/>
        <v>0</v>
      </c>
      <c r="H51" s="290">
        <f t="shared" si="5"/>
        <v>0</v>
      </c>
      <c r="I51" s="244">
        <v>0</v>
      </c>
      <c r="J51" s="274">
        <f t="shared" si="6"/>
        <v>0</v>
      </c>
      <c r="K51" s="277">
        <f t="shared" si="7"/>
        <v>0</v>
      </c>
      <c r="L51" s="277">
        <f t="shared" si="8"/>
        <v>0</v>
      </c>
      <c r="M51" s="274">
        <f t="shared" si="0"/>
        <v>0</v>
      </c>
      <c r="N51" s="242">
        <f t="shared" si="1"/>
        <v>0</v>
      </c>
      <c r="O51" s="305">
        <f t="shared" si="9"/>
        <v>0</v>
      </c>
      <c r="P51" s="520"/>
      <c r="Q51" s="68"/>
      <c r="R51" s="68"/>
      <c r="S51" s="96"/>
      <c r="T51" s="525"/>
      <c r="U51" s="526"/>
      <c r="V51" s="526"/>
      <c r="W51" s="527"/>
    </row>
    <row r="52" spans="1:19" ht="12.75" customHeight="1">
      <c r="A52" s="290">
        <f t="shared" si="10"/>
        <v>12</v>
      </c>
      <c r="B52" s="141">
        <v>0</v>
      </c>
      <c r="C52" s="230">
        <f t="shared" si="2"/>
        <v>0</v>
      </c>
      <c r="D52" s="290">
        <f t="shared" si="3"/>
        <v>0</v>
      </c>
      <c r="E52" s="239">
        <v>0</v>
      </c>
      <c r="F52" s="225">
        <v>0</v>
      </c>
      <c r="G52" s="276">
        <f t="shared" si="4"/>
        <v>0</v>
      </c>
      <c r="H52" s="290">
        <f t="shared" si="5"/>
        <v>0</v>
      </c>
      <c r="I52" s="244">
        <v>0</v>
      </c>
      <c r="J52" s="274">
        <f t="shared" si="6"/>
        <v>0</v>
      </c>
      <c r="K52" s="277">
        <f t="shared" si="7"/>
        <v>0</v>
      </c>
      <c r="L52" s="277">
        <f t="shared" si="8"/>
        <v>0</v>
      </c>
      <c r="M52" s="274">
        <f t="shared" si="0"/>
        <v>0</v>
      </c>
      <c r="N52" s="242">
        <f t="shared" si="1"/>
        <v>0</v>
      </c>
      <c r="O52" s="305">
        <f t="shared" si="9"/>
        <v>0</v>
      </c>
      <c r="P52" s="520"/>
      <c r="Q52" s="70" t="s">
        <v>924</v>
      </c>
      <c r="R52" s="685">
        <f>1/((R47*10^-6)*(R48*10^-12))^0.5</f>
        <v>300030664.70097876</v>
      </c>
      <c r="S52" s="96" t="s">
        <v>486</v>
      </c>
    </row>
    <row r="53" spans="1:19" ht="12.75" customHeight="1" thickBot="1">
      <c r="A53" s="290">
        <f t="shared" si="10"/>
        <v>13</v>
      </c>
      <c r="B53" s="141">
        <v>0</v>
      </c>
      <c r="C53" s="230">
        <f t="shared" si="2"/>
        <v>0</v>
      </c>
      <c r="D53" s="290">
        <f t="shared" si="3"/>
        <v>0</v>
      </c>
      <c r="E53" s="239">
        <v>0</v>
      </c>
      <c r="F53" s="225">
        <v>0</v>
      </c>
      <c r="G53" s="276">
        <f t="shared" si="4"/>
        <v>0</v>
      </c>
      <c r="H53" s="290">
        <f t="shared" si="5"/>
        <v>0</v>
      </c>
      <c r="I53" s="244">
        <v>0</v>
      </c>
      <c r="J53" s="274">
        <f t="shared" si="6"/>
        <v>0</v>
      </c>
      <c r="K53" s="277">
        <f t="shared" si="7"/>
        <v>0</v>
      </c>
      <c r="L53" s="277">
        <f t="shared" si="8"/>
        <v>0</v>
      </c>
      <c r="M53" s="274">
        <f t="shared" si="0"/>
        <v>0</v>
      </c>
      <c r="N53" s="242">
        <f t="shared" si="1"/>
        <v>0</v>
      </c>
      <c r="O53" s="305">
        <f t="shared" si="9"/>
        <v>0</v>
      </c>
      <c r="P53" s="521"/>
      <c r="Q53" s="69"/>
      <c r="R53" s="69"/>
      <c r="S53" s="104"/>
    </row>
    <row r="54" spans="1:22" ht="12.75">
      <c r="A54" s="290">
        <f t="shared" si="10"/>
        <v>14</v>
      </c>
      <c r="B54" s="141">
        <v>0</v>
      </c>
      <c r="C54" s="230">
        <f t="shared" si="2"/>
        <v>0</v>
      </c>
      <c r="D54" s="290">
        <f t="shared" si="3"/>
        <v>0</v>
      </c>
      <c r="E54" s="239">
        <v>0</v>
      </c>
      <c r="F54" s="225">
        <v>0</v>
      </c>
      <c r="G54" s="276">
        <f t="shared" si="4"/>
        <v>0</v>
      </c>
      <c r="H54" s="290">
        <f t="shared" si="5"/>
        <v>0</v>
      </c>
      <c r="I54" s="244">
        <v>0</v>
      </c>
      <c r="J54" s="274">
        <f t="shared" si="6"/>
        <v>0</v>
      </c>
      <c r="K54" s="277">
        <f t="shared" si="7"/>
        <v>0</v>
      </c>
      <c r="L54" s="277">
        <f t="shared" si="8"/>
        <v>0</v>
      </c>
      <c r="M54" s="274">
        <f t="shared" si="0"/>
        <v>0</v>
      </c>
      <c r="N54" s="242">
        <f t="shared" si="1"/>
        <v>0</v>
      </c>
      <c r="O54" s="305">
        <f t="shared" si="9"/>
        <v>0</v>
      </c>
      <c r="P54" s="924" t="s">
        <v>929</v>
      </c>
      <c r="Q54" s="925"/>
      <c r="R54" s="925"/>
      <c r="S54" s="926"/>
      <c r="V54" s="477"/>
    </row>
    <row r="55" spans="1:19" ht="13.5" thickBot="1">
      <c r="A55" s="290">
        <f t="shared" si="10"/>
        <v>15</v>
      </c>
      <c r="B55" s="141">
        <v>0</v>
      </c>
      <c r="C55" s="230">
        <f t="shared" si="2"/>
        <v>0</v>
      </c>
      <c r="D55" s="290">
        <f t="shared" si="3"/>
        <v>0</v>
      </c>
      <c r="E55" s="239">
        <v>0</v>
      </c>
      <c r="F55" s="225">
        <v>0</v>
      </c>
      <c r="G55" s="276">
        <f t="shared" si="4"/>
        <v>0</v>
      </c>
      <c r="H55" s="290">
        <f t="shared" si="5"/>
        <v>0</v>
      </c>
      <c r="I55" s="244">
        <v>0</v>
      </c>
      <c r="J55" s="274">
        <f t="shared" si="6"/>
        <v>0</v>
      </c>
      <c r="K55" s="277">
        <f t="shared" si="7"/>
        <v>0</v>
      </c>
      <c r="L55" s="277">
        <f t="shared" si="8"/>
        <v>0</v>
      </c>
      <c r="M55" s="274">
        <f t="shared" si="0"/>
        <v>0</v>
      </c>
      <c r="N55" s="242">
        <f t="shared" si="1"/>
        <v>0</v>
      </c>
      <c r="O55" s="305">
        <f t="shared" si="9"/>
        <v>0</v>
      </c>
      <c r="P55" s="520"/>
      <c r="Q55" s="519"/>
      <c r="R55" s="68"/>
      <c r="S55" s="96"/>
    </row>
    <row r="56" spans="1:19" ht="12.75">
      <c r="A56" s="290">
        <f t="shared" si="10"/>
        <v>16</v>
      </c>
      <c r="B56" s="141">
        <v>0</v>
      </c>
      <c r="C56" s="230">
        <f t="shared" si="2"/>
        <v>0</v>
      </c>
      <c r="D56" s="290">
        <f t="shared" si="3"/>
        <v>0</v>
      </c>
      <c r="E56" s="239">
        <v>0</v>
      </c>
      <c r="F56" s="225">
        <v>0</v>
      </c>
      <c r="G56" s="276">
        <f t="shared" si="4"/>
        <v>0</v>
      </c>
      <c r="H56" s="290">
        <f t="shared" si="5"/>
        <v>0</v>
      </c>
      <c r="I56" s="244">
        <v>0</v>
      </c>
      <c r="J56" s="274">
        <f t="shared" si="6"/>
        <v>0</v>
      </c>
      <c r="K56" s="277">
        <f t="shared" si="7"/>
        <v>0</v>
      </c>
      <c r="L56" s="277">
        <f t="shared" si="8"/>
        <v>0</v>
      </c>
      <c r="M56" s="274">
        <f t="shared" si="0"/>
        <v>0</v>
      </c>
      <c r="N56" s="242">
        <f t="shared" si="1"/>
        <v>0</v>
      </c>
      <c r="O56" s="305">
        <f t="shared" si="9"/>
        <v>0</v>
      </c>
      <c r="P56" s="520"/>
      <c r="Q56" s="70" t="s">
        <v>922</v>
      </c>
      <c r="R56" s="496">
        <v>66.52</v>
      </c>
      <c r="S56" s="342" t="s">
        <v>196</v>
      </c>
    </row>
    <row r="57" spans="1:19" ht="13.5" thickBot="1">
      <c r="A57" s="290">
        <f t="shared" si="10"/>
        <v>17</v>
      </c>
      <c r="B57" s="141">
        <v>0</v>
      </c>
      <c r="C57" s="230">
        <f t="shared" si="2"/>
        <v>0</v>
      </c>
      <c r="D57" s="290">
        <f t="shared" si="3"/>
        <v>0</v>
      </c>
      <c r="E57" s="239">
        <v>0</v>
      </c>
      <c r="F57" s="225">
        <v>0</v>
      </c>
      <c r="G57" s="276">
        <f t="shared" si="4"/>
        <v>0</v>
      </c>
      <c r="H57" s="290">
        <f t="shared" si="5"/>
        <v>0</v>
      </c>
      <c r="I57" s="244">
        <v>0</v>
      </c>
      <c r="J57" s="274">
        <f t="shared" si="6"/>
        <v>0</v>
      </c>
      <c r="K57" s="277">
        <f t="shared" si="7"/>
        <v>0</v>
      </c>
      <c r="L57" s="277">
        <f t="shared" si="8"/>
        <v>0</v>
      </c>
      <c r="M57" s="274">
        <f t="shared" si="0"/>
        <v>0</v>
      </c>
      <c r="N57" s="242">
        <f t="shared" si="1"/>
        <v>0</v>
      </c>
      <c r="O57" s="305">
        <f t="shared" si="9"/>
        <v>0</v>
      </c>
      <c r="P57" s="520"/>
      <c r="Q57" s="70" t="s">
        <v>923</v>
      </c>
      <c r="R57" s="497">
        <v>0.167</v>
      </c>
      <c r="S57" s="308" t="s">
        <v>925</v>
      </c>
    </row>
    <row r="58" spans="1:19" ht="12.75">
      <c r="A58" s="290">
        <f t="shared" si="10"/>
        <v>18</v>
      </c>
      <c r="B58" s="141">
        <v>0</v>
      </c>
      <c r="C58" s="230">
        <f t="shared" si="2"/>
        <v>0</v>
      </c>
      <c r="D58" s="290">
        <f t="shared" si="3"/>
        <v>0</v>
      </c>
      <c r="E58" s="239">
        <v>0</v>
      </c>
      <c r="F58" s="225">
        <v>0</v>
      </c>
      <c r="G58" s="276">
        <f t="shared" si="4"/>
        <v>0</v>
      </c>
      <c r="H58" s="290">
        <f t="shared" si="5"/>
        <v>0</v>
      </c>
      <c r="I58" s="244">
        <v>0</v>
      </c>
      <c r="J58" s="274">
        <f t="shared" si="6"/>
        <v>0</v>
      </c>
      <c r="K58" s="277">
        <f t="shared" si="7"/>
        <v>0</v>
      </c>
      <c r="L58" s="277">
        <f t="shared" si="8"/>
        <v>0</v>
      </c>
      <c r="M58" s="274">
        <f t="shared" si="0"/>
        <v>0</v>
      </c>
      <c r="N58" s="242">
        <f t="shared" si="1"/>
        <v>0</v>
      </c>
      <c r="O58" s="305">
        <f t="shared" si="9"/>
        <v>0</v>
      </c>
      <c r="P58" s="520"/>
      <c r="Q58" s="70" t="s">
        <v>589</v>
      </c>
      <c r="R58" s="105">
        <f>3*10^8</f>
        <v>300000000</v>
      </c>
      <c r="S58" s="96" t="s">
        <v>486</v>
      </c>
    </row>
    <row r="59" spans="1:20" ht="12.75">
      <c r="A59" s="290">
        <f t="shared" si="10"/>
        <v>19</v>
      </c>
      <c r="B59" s="141">
        <v>0</v>
      </c>
      <c r="C59" s="230">
        <f t="shared" si="2"/>
        <v>0</v>
      </c>
      <c r="D59" s="290">
        <f t="shared" si="3"/>
        <v>0</v>
      </c>
      <c r="E59" s="239">
        <v>0</v>
      </c>
      <c r="F59" s="225">
        <v>0</v>
      </c>
      <c r="G59" s="276">
        <f t="shared" si="4"/>
        <v>0</v>
      </c>
      <c r="H59" s="290">
        <f t="shared" si="5"/>
        <v>0</v>
      </c>
      <c r="I59" s="244">
        <v>0</v>
      </c>
      <c r="J59" s="274">
        <f t="shared" si="6"/>
        <v>0</v>
      </c>
      <c r="K59" s="277">
        <f t="shared" si="7"/>
        <v>0</v>
      </c>
      <c r="L59" s="277">
        <f t="shared" si="8"/>
        <v>0</v>
      </c>
      <c r="M59" s="274">
        <f t="shared" si="0"/>
        <v>0</v>
      </c>
      <c r="N59" s="242">
        <f t="shared" si="1"/>
        <v>0</v>
      </c>
      <c r="O59" s="305">
        <f t="shared" si="9"/>
        <v>0</v>
      </c>
      <c r="P59" s="520"/>
      <c r="Q59" s="68"/>
      <c r="R59" s="68"/>
      <c r="S59" s="96"/>
      <c r="T59" s="216"/>
    </row>
    <row r="60" spans="1:20" ht="13.5" customHeight="1" thickBot="1">
      <c r="A60" s="290">
        <f t="shared" si="10"/>
        <v>20</v>
      </c>
      <c r="B60" s="119">
        <v>0</v>
      </c>
      <c r="C60" s="230">
        <f t="shared" si="2"/>
        <v>0</v>
      </c>
      <c r="D60" s="290">
        <f t="shared" si="3"/>
        <v>0</v>
      </c>
      <c r="E60" s="240">
        <v>0</v>
      </c>
      <c r="F60" s="241">
        <v>0</v>
      </c>
      <c r="G60" s="276">
        <f t="shared" si="4"/>
        <v>0</v>
      </c>
      <c r="H60" s="290">
        <f t="shared" si="5"/>
        <v>0</v>
      </c>
      <c r="I60" s="245">
        <v>0</v>
      </c>
      <c r="J60" s="274">
        <f t="shared" si="6"/>
        <v>0</v>
      </c>
      <c r="K60" s="277">
        <f t="shared" si="7"/>
        <v>0</v>
      </c>
      <c r="L60" s="277">
        <f t="shared" si="8"/>
        <v>0</v>
      </c>
      <c r="M60" s="274">
        <f t="shared" si="0"/>
        <v>0</v>
      </c>
      <c r="N60" s="242">
        <f t="shared" si="1"/>
        <v>0</v>
      </c>
      <c r="O60" s="305">
        <v>0</v>
      </c>
      <c r="P60" s="917" t="s">
        <v>928</v>
      </c>
      <c r="Q60" s="918"/>
      <c r="R60" s="918"/>
      <c r="S60" s="919"/>
      <c r="T60" s="216"/>
    </row>
    <row r="61" spans="1:20" ht="12.75">
      <c r="A61" s="227"/>
      <c r="B61" s="226"/>
      <c r="C61" s="230"/>
      <c r="D61" s="290">
        <f>SUM(D41:D60)</f>
        <v>0.004000000000000001</v>
      </c>
      <c r="E61" s="283"/>
      <c r="F61" s="283"/>
      <c r="G61" s="276">
        <f>SUM(G41:G60)</f>
        <v>10</v>
      </c>
      <c r="H61" s="290">
        <f aca="true" t="shared" si="11" ref="H61:O61">SUM(H41:H60)</f>
        <v>9</v>
      </c>
      <c r="I61" s="277">
        <f t="shared" si="11"/>
        <v>7100</v>
      </c>
      <c r="J61" s="277">
        <f t="shared" si="11"/>
        <v>34888</v>
      </c>
      <c r="K61" s="277">
        <f t="shared" si="11"/>
        <v>45</v>
      </c>
      <c r="L61" s="277">
        <f t="shared" si="11"/>
        <v>285</v>
      </c>
      <c r="M61" s="274">
        <f t="shared" si="11"/>
        <v>75328.48888888888</v>
      </c>
      <c r="N61" s="274">
        <f t="shared" si="11"/>
        <v>459.0000000000002</v>
      </c>
      <c r="O61" s="291">
        <f t="shared" si="11"/>
        <v>133165</v>
      </c>
      <c r="P61" s="520"/>
      <c r="Q61" s="68"/>
      <c r="R61" s="68"/>
      <c r="S61" s="96"/>
      <c r="T61" s="216"/>
    </row>
    <row r="62" spans="1:20" ht="12.75">
      <c r="A62" s="979" t="s">
        <v>252</v>
      </c>
      <c r="B62" s="980"/>
      <c r="C62" s="981"/>
      <c r="D62" s="979" t="s">
        <v>252</v>
      </c>
      <c r="E62" s="980"/>
      <c r="F62" s="980"/>
      <c r="G62" s="981"/>
      <c r="H62" s="979" t="s">
        <v>252</v>
      </c>
      <c r="I62" s="980"/>
      <c r="J62" s="980"/>
      <c r="K62" s="980"/>
      <c r="L62" s="228"/>
      <c r="M62" s="228"/>
      <c r="N62" s="249"/>
      <c r="O62" s="229"/>
      <c r="P62" s="520"/>
      <c r="Q62" s="70" t="s">
        <v>666</v>
      </c>
      <c r="R62" s="685">
        <f>1/(R58*((R56*10^-6)*(R57*10^-12))^0.5)</f>
        <v>1.0001022156699293</v>
      </c>
      <c r="S62" s="96"/>
      <c r="T62" s="216"/>
    </row>
    <row r="63" spans="1:20" ht="13.5" thickBot="1">
      <c r="A63" s="979" t="s">
        <v>253</v>
      </c>
      <c r="B63" s="980"/>
      <c r="C63" s="981"/>
      <c r="D63" s="979" t="s">
        <v>253</v>
      </c>
      <c r="E63" s="980"/>
      <c r="F63" s="980"/>
      <c r="G63" s="981"/>
      <c r="H63" s="979" t="s">
        <v>253</v>
      </c>
      <c r="I63" s="980"/>
      <c r="J63" s="980"/>
      <c r="K63" s="980"/>
      <c r="L63" s="228"/>
      <c r="M63" s="228"/>
      <c r="N63" s="249"/>
      <c r="O63" s="229"/>
      <c r="P63" s="521"/>
      <c r="Q63" s="69"/>
      <c r="R63" s="69"/>
      <c r="S63" s="104"/>
      <c r="T63" s="216"/>
    </row>
    <row r="64" spans="1:19" ht="12.75">
      <c r="A64" s="979"/>
      <c r="B64" s="980"/>
      <c r="C64" s="981"/>
      <c r="D64" s="979" t="s">
        <v>271</v>
      </c>
      <c r="E64" s="980"/>
      <c r="F64" s="980"/>
      <c r="G64" s="981"/>
      <c r="H64" s="275"/>
      <c r="I64" s="278"/>
      <c r="J64" s="278"/>
      <c r="K64" s="278"/>
      <c r="L64" s="278"/>
      <c r="M64" s="278"/>
      <c r="N64" s="278"/>
      <c r="O64" s="230"/>
      <c r="P64" s="768"/>
      <c r="Q64" s="79"/>
      <c r="R64" s="79"/>
      <c r="S64" s="769"/>
    </row>
    <row r="65" spans="1:19" ht="12.75">
      <c r="A65" s="227"/>
      <c r="B65" s="228"/>
      <c r="C65" s="230"/>
      <c r="D65" s="227"/>
      <c r="E65" s="228"/>
      <c r="F65" s="228"/>
      <c r="G65" s="229"/>
      <c r="H65" s="311"/>
      <c r="I65" s="311"/>
      <c r="J65" s="311"/>
      <c r="K65" s="311"/>
      <c r="L65" s="311"/>
      <c r="M65" s="311"/>
      <c r="N65" s="311"/>
      <c r="O65" s="230"/>
      <c r="P65" s="1044"/>
      <c r="Q65" s="1045"/>
      <c r="R65" s="1045"/>
      <c r="S65" s="1046"/>
    </row>
    <row r="66" spans="1:19" ht="12.75">
      <c r="A66" s="227"/>
      <c r="B66" s="228"/>
      <c r="C66" s="230"/>
      <c r="D66" s="227"/>
      <c r="E66" s="228"/>
      <c r="F66" s="228"/>
      <c r="G66" s="229"/>
      <c r="H66" s="1051" t="s">
        <v>304</v>
      </c>
      <c r="I66" s="1052"/>
      <c r="J66" s="1052"/>
      <c r="K66" s="1052"/>
      <c r="L66" s="1052"/>
      <c r="M66" s="1042">
        <f>(1/(2*(H61-1))*O61)^0.5</f>
        <v>91.22944974074983</v>
      </c>
      <c r="N66" s="1042"/>
      <c r="O66" s="230"/>
      <c r="P66" s="768"/>
      <c r="Q66" s="79"/>
      <c r="R66" s="79"/>
      <c r="S66" s="769"/>
    </row>
    <row r="67" spans="1:19" ht="12.75">
      <c r="A67" s="227"/>
      <c r="B67" s="228"/>
      <c r="C67" s="230"/>
      <c r="D67" s="227"/>
      <c r="E67" s="228"/>
      <c r="F67" s="228"/>
      <c r="G67" s="229"/>
      <c r="H67" s="311"/>
      <c r="I67" s="311"/>
      <c r="J67" s="311"/>
      <c r="K67" s="311"/>
      <c r="L67" s="311"/>
      <c r="M67" s="311"/>
      <c r="N67" s="311"/>
      <c r="O67" s="309"/>
      <c r="P67" s="768"/>
      <c r="Q67" s="261"/>
      <c r="R67" s="770"/>
      <c r="S67" s="769"/>
    </row>
    <row r="68" spans="1:19" ht="12.75">
      <c r="A68" s="227"/>
      <c r="B68" s="228"/>
      <c r="C68" s="230"/>
      <c r="D68" s="227"/>
      <c r="E68" s="228"/>
      <c r="F68" s="228"/>
      <c r="G68" s="229"/>
      <c r="H68" s="311"/>
      <c r="I68" s="311"/>
      <c r="J68" s="311"/>
      <c r="K68" s="311"/>
      <c r="L68" s="311"/>
      <c r="M68" s="311"/>
      <c r="N68" s="311"/>
      <c r="O68" s="310"/>
      <c r="P68" s="768"/>
      <c r="Q68" s="79"/>
      <c r="R68" s="79"/>
      <c r="S68" s="769"/>
    </row>
    <row r="69" spans="1:19" ht="12.75" customHeight="1">
      <c r="A69" s="227"/>
      <c r="B69" s="228"/>
      <c r="C69" s="230"/>
      <c r="D69" s="227"/>
      <c r="E69" s="228"/>
      <c r="F69" s="228"/>
      <c r="G69" s="229"/>
      <c r="H69" s="1049" t="s">
        <v>264</v>
      </c>
      <c r="I69" s="1050"/>
      <c r="J69" s="1050"/>
      <c r="K69" s="1050"/>
      <c r="L69" s="1050"/>
      <c r="M69" s="1065">
        <f>(H61*J61-K61*I61)/(H61*L61-K61^2)</f>
        <v>-10.2</v>
      </c>
      <c r="N69" s="1065"/>
      <c r="O69" s="309"/>
      <c r="P69" s="1062"/>
      <c r="Q69" s="1063"/>
      <c r="R69" s="1063"/>
      <c r="S69" s="1064"/>
    </row>
    <row r="70" spans="1:19" ht="13.5" thickBot="1">
      <c r="A70" s="223"/>
      <c r="B70" s="223"/>
      <c r="C70" s="230">
        <f>SUM(C41:C60)</f>
        <v>9</v>
      </c>
      <c r="D70" s="227"/>
      <c r="E70" s="228"/>
      <c r="F70" s="228"/>
      <c r="G70" s="229"/>
      <c r="H70" s="1049" t="s">
        <v>265</v>
      </c>
      <c r="I70" s="1050"/>
      <c r="J70" s="1050"/>
      <c r="K70" s="1050"/>
      <c r="L70" s="1050"/>
      <c r="M70" s="1065">
        <f>(I61*L61-K61*J61)/(H61*L61-K61^2)</f>
        <v>839.8888888888889</v>
      </c>
      <c r="N70" s="1065"/>
      <c r="O70" s="309"/>
      <c r="P70" s="768"/>
      <c r="Q70" s="771"/>
      <c r="R70" s="79"/>
      <c r="S70" s="769"/>
    </row>
    <row r="71" spans="1:20" ht="12.75">
      <c r="A71" s="979" t="s">
        <v>276</v>
      </c>
      <c r="B71" s="980"/>
      <c r="C71" s="400">
        <f>SUM(B41:B60)/C70</f>
        <v>788.8888888888889</v>
      </c>
      <c r="D71" s="977" t="s">
        <v>277</v>
      </c>
      <c r="E71" s="978"/>
      <c r="F71" s="1066">
        <f>(1/(2*G61)*D61)^0.5</f>
        <v>0.014142135623730952</v>
      </c>
      <c r="G71" s="1067"/>
      <c r="H71" s="1047" t="s">
        <v>302</v>
      </c>
      <c r="I71" s="1048"/>
      <c r="J71" s="1048"/>
      <c r="K71" s="1048"/>
      <c r="L71" s="1048"/>
      <c r="M71" s="1043">
        <f>(1/H61*M61)^0.5</f>
        <v>91.48678647086382</v>
      </c>
      <c r="N71" s="1043"/>
      <c r="O71" s="229"/>
      <c r="P71" s="921" t="s">
        <v>1050</v>
      </c>
      <c r="Q71" s="922"/>
      <c r="R71" s="922"/>
      <c r="S71" s="922"/>
      <c r="T71" s="388"/>
    </row>
    <row r="72" spans="1:19" ht="13.5" thickBot="1">
      <c r="A72" s="231"/>
      <c r="B72" s="232"/>
      <c r="C72" s="233"/>
      <c r="D72" s="231"/>
      <c r="E72" s="232"/>
      <c r="F72" s="232"/>
      <c r="G72" s="233"/>
      <c r="H72" s="289"/>
      <c r="I72" s="250"/>
      <c r="J72" s="250"/>
      <c r="K72" s="250"/>
      <c r="L72" s="250"/>
      <c r="M72" s="250"/>
      <c r="N72" s="250"/>
      <c r="O72" s="233"/>
      <c r="P72" s="42"/>
      <c r="Q72" s="43"/>
      <c r="R72" s="43"/>
      <c r="S72" s="108"/>
    </row>
    <row r="73" spans="1:19" ht="12.75">
      <c r="A73" s="921" t="s">
        <v>127</v>
      </c>
      <c r="B73" s="922"/>
      <c r="C73" s="922"/>
      <c r="D73" s="921" t="s">
        <v>128</v>
      </c>
      <c r="E73" s="922"/>
      <c r="F73" s="922"/>
      <c r="G73" s="923"/>
      <c r="H73" s="921" t="s">
        <v>129</v>
      </c>
      <c r="I73" s="922"/>
      <c r="J73" s="922"/>
      <c r="K73" s="923"/>
      <c r="L73" s="921" t="s">
        <v>564</v>
      </c>
      <c r="M73" s="922"/>
      <c r="N73" s="922"/>
      <c r="O73" s="923"/>
      <c r="P73" s="1006" t="s">
        <v>329</v>
      </c>
      <c r="Q73" s="1036"/>
      <c r="R73" s="118">
        <v>0.1</v>
      </c>
      <c r="S73" s="772" t="s">
        <v>1038</v>
      </c>
    </row>
    <row r="74" spans="1:19" ht="13.5" thickBot="1">
      <c r="A74" s="42"/>
      <c r="B74" s="43"/>
      <c r="C74" s="43"/>
      <c r="D74" s="42"/>
      <c r="E74" s="43"/>
      <c r="F74" s="43"/>
      <c r="G74" s="108"/>
      <c r="H74" s="42"/>
      <c r="I74" s="43"/>
      <c r="J74" s="43"/>
      <c r="K74" s="108"/>
      <c r="L74" s="42"/>
      <c r="M74" s="43"/>
      <c r="N74" s="43"/>
      <c r="O74" s="108"/>
      <c r="P74" s="1006" t="s">
        <v>330</v>
      </c>
      <c r="Q74" s="1036"/>
      <c r="R74" s="141">
        <v>-6</v>
      </c>
      <c r="S74" s="773"/>
    </row>
    <row r="75" spans="1:19" ht="12.75">
      <c r="A75" s="320" t="s">
        <v>329</v>
      </c>
      <c r="B75" s="118">
        <v>10</v>
      </c>
      <c r="C75" s="324" t="s">
        <v>48</v>
      </c>
      <c r="D75" s="42"/>
      <c r="E75" s="326" t="s">
        <v>331</v>
      </c>
      <c r="F75" s="118">
        <v>1E-05</v>
      </c>
      <c r="G75" s="300" t="s">
        <v>123</v>
      </c>
      <c r="H75" s="1006" t="s">
        <v>329</v>
      </c>
      <c r="I75" s="1036"/>
      <c r="J75" s="118">
        <v>220</v>
      </c>
      <c r="K75" s="300" t="s">
        <v>48</v>
      </c>
      <c r="L75" s="1006" t="s">
        <v>329</v>
      </c>
      <c r="M75" s="1036"/>
      <c r="N75" s="118">
        <v>220</v>
      </c>
      <c r="O75" s="300" t="s">
        <v>48</v>
      </c>
      <c r="P75" s="1006" t="s">
        <v>121</v>
      </c>
      <c r="Q75" s="1036"/>
      <c r="R75" s="141">
        <v>10000</v>
      </c>
      <c r="S75" s="45" t="s">
        <v>22</v>
      </c>
    </row>
    <row r="76" spans="1:19" ht="13.5" thickBot="1">
      <c r="A76" s="320" t="s">
        <v>330</v>
      </c>
      <c r="B76" s="141">
        <v>-9</v>
      </c>
      <c r="C76" s="44"/>
      <c r="D76" s="42"/>
      <c r="E76" s="326" t="s">
        <v>121</v>
      </c>
      <c r="F76" s="119">
        <v>11000</v>
      </c>
      <c r="G76" s="45" t="s">
        <v>22</v>
      </c>
      <c r="H76" s="1006" t="s">
        <v>330</v>
      </c>
      <c r="I76" s="1036"/>
      <c r="J76" s="141">
        <v>-9</v>
      </c>
      <c r="K76" s="45"/>
      <c r="L76" s="42"/>
      <c r="M76" s="326" t="s">
        <v>330</v>
      </c>
      <c r="N76" s="141">
        <v>-6</v>
      </c>
      <c r="O76" s="45"/>
      <c r="P76" s="1006" t="s">
        <v>340</v>
      </c>
      <c r="Q76" s="1036"/>
      <c r="R76" s="141">
        <v>3.5</v>
      </c>
      <c r="S76" s="45" t="s">
        <v>3</v>
      </c>
    </row>
    <row r="77" spans="1:19" ht="13.5" thickBot="1">
      <c r="A77" s="320" t="s">
        <v>121</v>
      </c>
      <c r="B77" s="119">
        <v>8300</v>
      </c>
      <c r="C77" s="44" t="s">
        <v>22</v>
      </c>
      <c r="D77" s="46"/>
      <c r="E77" s="47"/>
      <c r="F77" s="44"/>
      <c r="G77" s="108"/>
      <c r="H77" s="418"/>
      <c r="I77" s="326" t="s">
        <v>331</v>
      </c>
      <c r="J77" s="119">
        <f>B82</f>
        <v>8.3E-05</v>
      </c>
      <c r="K77" s="45" t="s">
        <v>123</v>
      </c>
      <c r="L77" s="1006" t="s">
        <v>339</v>
      </c>
      <c r="M77" s="1036"/>
      <c r="N77" s="141">
        <v>0.215</v>
      </c>
      <c r="O77" s="45" t="s">
        <v>34</v>
      </c>
      <c r="P77" s="1006" t="s">
        <v>331</v>
      </c>
      <c r="Q77" s="1036"/>
      <c r="R77" s="119">
        <v>0.013</v>
      </c>
      <c r="S77" s="45" t="s">
        <v>123</v>
      </c>
    </row>
    <row r="78" spans="1:19" ht="13.5" thickBot="1">
      <c r="A78" s="46"/>
      <c r="B78" s="47"/>
      <c r="C78" s="47"/>
      <c r="D78" s="46"/>
      <c r="E78" s="47"/>
      <c r="F78" s="47"/>
      <c r="G78" s="108"/>
      <c r="H78" s="42"/>
      <c r="I78" s="44"/>
      <c r="J78" s="47"/>
      <c r="K78" s="48"/>
      <c r="L78" s="1006" t="s">
        <v>568</v>
      </c>
      <c r="M78" s="1036"/>
      <c r="N78" s="119">
        <v>10</v>
      </c>
      <c r="O78" s="300" t="s">
        <v>3</v>
      </c>
      <c r="P78" s="42"/>
      <c r="Q78" s="44"/>
      <c r="R78" s="43"/>
      <c r="S78" s="108"/>
    </row>
    <row r="79" spans="1:19" ht="12.75">
      <c r="A79" s="46"/>
      <c r="B79" s="44"/>
      <c r="C79" s="44"/>
      <c r="D79" s="46"/>
      <c r="E79" s="44"/>
      <c r="F79" s="44"/>
      <c r="G79" s="108"/>
      <c r="H79" s="46"/>
      <c r="I79" s="44"/>
      <c r="J79" s="44"/>
      <c r="K79" s="108"/>
      <c r="L79" s="42"/>
      <c r="M79" s="44"/>
      <c r="N79" s="44"/>
      <c r="O79" s="45"/>
      <c r="P79" s="1006" t="s">
        <v>1039</v>
      </c>
      <c r="Q79" s="1007"/>
      <c r="R79" s="44" t="s">
        <v>1040</v>
      </c>
      <c r="S79" s="108"/>
    </row>
    <row r="80" spans="1:19" ht="12.75">
      <c r="A80" s="936" t="s">
        <v>122</v>
      </c>
      <c r="B80" s="937"/>
      <c r="C80" s="937"/>
      <c r="D80" s="936" t="s">
        <v>124</v>
      </c>
      <c r="E80" s="937"/>
      <c r="F80" s="937"/>
      <c r="G80" s="108"/>
      <c r="H80" s="936" t="s">
        <v>126</v>
      </c>
      <c r="I80" s="937"/>
      <c r="J80" s="937"/>
      <c r="K80" s="108"/>
      <c r="L80" s="42"/>
      <c r="M80" s="324" t="s">
        <v>563</v>
      </c>
      <c r="N80" s="47"/>
      <c r="O80" s="48"/>
      <c r="P80" s="774"/>
      <c r="Q80" s="775"/>
      <c r="R80" s="775"/>
      <c r="S80" s="108"/>
    </row>
    <row r="81" spans="1:19" ht="12.75">
      <c r="A81" s="46"/>
      <c r="B81" s="44"/>
      <c r="C81" s="44"/>
      <c r="D81" s="46"/>
      <c r="E81" s="44"/>
      <c r="F81" s="44"/>
      <c r="G81" s="108"/>
      <c r="H81" s="46"/>
      <c r="I81" s="44"/>
      <c r="J81" s="44"/>
      <c r="K81" s="108"/>
      <c r="L81" s="42"/>
      <c r="M81" s="324" t="s">
        <v>567</v>
      </c>
      <c r="N81" s="44"/>
      <c r="O81" s="45"/>
      <c r="P81" s="320" t="s">
        <v>1039</v>
      </c>
      <c r="Q81" s="72">
        <f>(R76/R75)*EXP(-R77/(R75*R73*10^R74))</f>
        <v>7.91115292443369E-10</v>
      </c>
      <c r="R81" s="324" t="s">
        <v>34</v>
      </c>
      <c r="S81" s="108"/>
    </row>
    <row r="82" spans="1:19" ht="12.75">
      <c r="A82" s="320" t="s">
        <v>328</v>
      </c>
      <c r="B82" s="72">
        <f>(B75*10^B76)*B77</f>
        <v>8.3E-05</v>
      </c>
      <c r="C82" s="47" t="s">
        <v>917</v>
      </c>
      <c r="D82" s="320" t="s">
        <v>327</v>
      </c>
      <c r="E82" s="72">
        <f>F75/F76*1000000</f>
        <v>0.0009090909090909092</v>
      </c>
      <c r="F82" s="47" t="s">
        <v>125</v>
      </c>
      <c r="G82" s="108"/>
      <c r="H82" s="416" t="s">
        <v>145</v>
      </c>
      <c r="I82" s="72">
        <f>J77/(J75*10^J76)</f>
        <v>377.27272727272725</v>
      </c>
      <c r="J82" s="47" t="s">
        <v>22</v>
      </c>
      <c r="K82" s="108"/>
      <c r="L82" s="1003" t="s">
        <v>566</v>
      </c>
      <c r="M82" s="1005"/>
      <c r="N82" s="72">
        <f>N77/(N75*10^N76)</f>
        <v>977.2727272727274</v>
      </c>
      <c r="O82" s="300" t="s">
        <v>920</v>
      </c>
      <c r="P82" s="320" t="s">
        <v>1041</v>
      </c>
      <c r="Q82" s="776">
        <f>R76-(R75*Q81)</f>
        <v>3.4999920888470757</v>
      </c>
      <c r="R82" s="44" t="s">
        <v>1042</v>
      </c>
      <c r="S82" s="108"/>
    </row>
    <row r="83" spans="1:19" ht="12.75">
      <c r="A83" s="355" t="s">
        <v>409</v>
      </c>
      <c r="B83" s="72">
        <f>B82*1000</f>
        <v>0.083</v>
      </c>
      <c r="C83" s="47" t="s">
        <v>830</v>
      </c>
      <c r="D83" s="46"/>
      <c r="E83" s="44"/>
      <c r="F83" s="44"/>
      <c r="G83" s="108"/>
      <c r="H83" s="46"/>
      <c r="I83" s="44"/>
      <c r="J83" s="44"/>
      <c r="K83" s="108"/>
      <c r="L83" s="1003" t="s">
        <v>565</v>
      </c>
      <c r="M83" s="1005"/>
      <c r="N83" s="201">
        <f>N78/N82</f>
        <v>0.010232558139534883</v>
      </c>
      <c r="O83" s="45" t="s">
        <v>917</v>
      </c>
      <c r="P83" s="320" t="s">
        <v>1041</v>
      </c>
      <c r="Q83" s="776">
        <f>R75*Q81</f>
        <v>7.91115292443369E-06</v>
      </c>
      <c r="R83" s="44" t="s">
        <v>1043</v>
      </c>
      <c r="S83" s="108"/>
    </row>
    <row r="84" spans="1:19" ht="13.5" thickBot="1">
      <c r="A84" s="52"/>
      <c r="B84" s="50"/>
      <c r="C84" s="50"/>
      <c r="D84" s="52"/>
      <c r="E84" s="50"/>
      <c r="F84" s="50"/>
      <c r="G84" s="415"/>
      <c r="H84" s="52"/>
      <c r="I84" s="50"/>
      <c r="J84" s="50"/>
      <c r="K84" s="415"/>
      <c r="L84" s="414"/>
      <c r="M84" s="50"/>
      <c r="N84" s="50"/>
      <c r="O84" s="51"/>
      <c r="P84" s="52"/>
      <c r="Q84" s="50"/>
      <c r="R84" s="50"/>
      <c r="S84" s="51"/>
    </row>
    <row r="85" spans="1:19" ht="12.75">
      <c r="A85" s="899" t="s">
        <v>452</v>
      </c>
      <c r="B85" s="900"/>
      <c r="C85" s="901"/>
      <c r="D85" s="899" t="s">
        <v>1047</v>
      </c>
      <c r="E85" s="900"/>
      <c r="F85" s="900"/>
      <c r="G85" s="901"/>
      <c r="H85" s="413"/>
      <c r="I85" s="413"/>
      <c r="J85" s="413"/>
      <c r="K85" s="413"/>
      <c r="L85" s="413"/>
      <c r="M85" s="413"/>
      <c r="N85" s="413"/>
      <c r="O85" s="413"/>
      <c r="P85" s="899" t="s">
        <v>1051</v>
      </c>
      <c r="Q85" s="900"/>
      <c r="R85" s="900"/>
      <c r="S85" s="901"/>
    </row>
    <row r="86" spans="1:19" ht="13.5" thickBot="1">
      <c r="A86" s="86"/>
      <c r="B86" s="68"/>
      <c r="C86" s="96"/>
      <c r="D86" s="777"/>
      <c r="E86" s="68"/>
      <c r="F86" s="68"/>
      <c r="G86" s="96"/>
      <c r="H86" s="93"/>
      <c r="I86" s="93"/>
      <c r="J86" s="93"/>
      <c r="K86" s="93"/>
      <c r="L86" s="79"/>
      <c r="M86" s="79"/>
      <c r="N86" s="79"/>
      <c r="O86" s="79"/>
      <c r="P86" s="777"/>
      <c r="Q86" s="68"/>
      <c r="R86" s="68"/>
      <c r="S86" s="96"/>
    </row>
    <row r="87" spans="1:19" ht="12.75">
      <c r="A87" s="180" t="s">
        <v>453</v>
      </c>
      <c r="B87" s="118">
        <v>220</v>
      </c>
      <c r="C87" s="308" t="s">
        <v>48</v>
      </c>
      <c r="D87" s="71" t="s">
        <v>331</v>
      </c>
      <c r="E87" s="118">
        <v>0.01</v>
      </c>
      <c r="F87" s="780" t="s">
        <v>123</v>
      </c>
      <c r="G87" s="97"/>
      <c r="H87" s="93"/>
      <c r="I87" s="93"/>
      <c r="J87" s="93"/>
      <c r="K87" s="93"/>
      <c r="L87" s="79"/>
      <c r="M87" s="79"/>
      <c r="N87" s="79"/>
      <c r="O87" s="79"/>
      <c r="P87" s="1034" t="s">
        <v>347</v>
      </c>
      <c r="Q87" s="1035"/>
      <c r="R87" s="118">
        <v>100</v>
      </c>
      <c r="S87" s="308" t="s">
        <v>1044</v>
      </c>
    </row>
    <row r="88" spans="1:19" ht="13.5" thickBot="1">
      <c r="A88" s="180" t="s">
        <v>330</v>
      </c>
      <c r="B88" s="141">
        <v>-9</v>
      </c>
      <c r="C88" s="98"/>
      <c r="D88" s="71" t="s">
        <v>121</v>
      </c>
      <c r="E88" s="119">
        <v>10</v>
      </c>
      <c r="F88" s="88" t="s">
        <v>22</v>
      </c>
      <c r="G88" s="97"/>
      <c r="H88" s="93"/>
      <c r="I88" s="93"/>
      <c r="J88" s="93"/>
      <c r="K88" s="93"/>
      <c r="L88" s="79"/>
      <c r="M88" s="79"/>
      <c r="N88" s="79"/>
      <c r="O88" s="79"/>
      <c r="P88" s="1034" t="s">
        <v>330</v>
      </c>
      <c r="Q88" s="1035"/>
      <c r="R88" s="141">
        <v>-3</v>
      </c>
      <c r="S88" s="98"/>
    </row>
    <row r="89" spans="1:19" ht="13.5" thickBot="1">
      <c r="A89" s="180" t="s">
        <v>121</v>
      </c>
      <c r="B89" s="119">
        <v>1000</v>
      </c>
      <c r="C89" s="98" t="s">
        <v>22</v>
      </c>
      <c r="D89" s="71"/>
      <c r="E89" s="88"/>
      <c r="F89" s="88"/>
      <c r="G89" s="98"/>
      <c r="H89" s="93"/>
      <c r="I89" s="93"/>
      <c r="J89" s="93"/>
      <c r="K89" s="93"/>
      <c r="L89" s="79"/>
      <c r="M89" s="79"/>
      <c r="N89" s="79"/>
      <c r="O89" s="79"/>
      <c r="P89" s="1034" t="s">
        <v>121</v>
      </c>
      <c r="Q89" s="1035"/>
      <c r="R89" s="141">
        <v>10</v>
      </c>
      <c r="S89" s="98" t="s">
        <v>22</v>
      </c>
    </row>
    <row r="90" spans="1:19" ht="12.75">
      <c r="A90" s="87"/>
      <c r="B90" s="89"/>
      <c r="C90" s="97"/>
      <c r="D90" s="777"/>
      <c r="E90" s="88"/>
      <c r="F90" s="89"/>
      <c r="G90" s="97"/>
      <c r="H90" s="93"/>
      <c r="I90" s="93"/>
      <c r="J90" s="93"/>
      <c r="K90" s="93"/>
      <c r="L90" s="79"/>
      <c r="M90" s="79"/>
      <c r="N90" s="79"/>
      <c r="O90" s="79"/>
      <c r="P90" s="1034" t="s">
        <v>1045</v>
      </c>
      <c r="Q90" s="1035"/>
      <c r="R90" s="141">
        <v>48.5</v>
      </c>
      <c r="S90" s="98" t="s">
        <v>3</v>
      </c>
    </row>
    <row r="91" spans="1:19" ht="13.5" thickBot="1">
      <c r="A91" s="87"/>
      <c r="B91" s="88"/>
      <c r="C91" s="98"/>
      <c r="D91" s="777"/>
      <c r="E91" s="88"/>
      <c r="F91" s="88"/>
      <c r="G91" s="98"/>
      <c r="H91" s="93"/>
      <c r="I91" s="93"/>
      <c r="J91" s="93"/>
      <c r="K91" s="93"/>
      <c r="L91" s="79"/>
      <c r="M91" s="79"/>
      <c r="N91" s="79"/>
      <c r="O91" s="79"/>
      <c r="P91" s="1034" t="s">
        <v>331</v>
      </c>
      <c r="Q91" s="1035"/>
      <c r="R91" s="119">
        <v>0.00332</v>
      </c>
      <c r="S91" s="98" t="s">
        <v>123</v>
      </c>
    </row>
    <row r="92" spans="1:19" ht="12.75">
      <c r="A92" s="905" t="s">
        <v>454</v>
      </c>
      <c r="B92" s="906"/>
      <c r="C92" s="968"/>
      <c r="D92" s="89"/>
      <c r="E92" s="89" t="s">
        <v>1048</v>
      </c>
      <c r="F92" s="89"/>
      <c r="G92" s="98"/>
      <c r="H92" s="93"/>
      <c r="I92" s="93"/>
      <c r="J92" s="93"/>
      <c r="K92" s="93"/>
      <c r="L92" s="79"/>
      <c r="M92" s="79"/>
      <c r="N92" s="79"/>
      <c r="O92" s="79"/>
      <c r="P92" s="180"/>
      <c r="Q92" s="88"/>
      <c r="R92" s="88"/>
      <c r="S92" s="98"/>
    </row>
    <row r="93" spans="1:19" ht="12.75">
      <c r="A93" s="87"/>
      <c r="B93" s="88"/>
      <c r="C93" s="98"/>
      <c r="D93" s="88"/>
      <c r="E93" s="88"/>
      <c r="F93" s="88"/>
      <c r="G93" s="98"/>
      <c r="H93" s="93"/>
      <c r="I93" s="93"/>
      <c r="J93" s="93"/>
      <c r="K93" s="93"/>
      <c r="L93" s="79"/>
      <c r="M93" s="79"/>
      <c r="N93" s="79"/>
      <c r="O93" s="79"/>
      <c r="P93" s="180" t="s">
        <v>1039</v>
      </c>
      <c r="Q93" s="88" t="s">
        <v>1046</v>
      </c>
      <c r="R93" s="88"/>
      <c r="S93" s="98"/>
    </row>
    <row r="94" spans="1:19" ht="12.75">
      <c r="A94" s="180" t="s">
        <v>328</v>
      </c>
      <c r="B94" s="114">
        <f>(B87*10^B88)/B89</f>
        <v>2.2000000000000002E-10</v>
      </c>
      <c r="C94" s="97" t="s">
        <v>917</v>
      </c>
      <c r="D94" s="71" t="s">
        <v>328</v>
      </c>
      <c r="E94" s="114">
        <f>E87*E88*1000</f>
        <v>100</v>
      </c>
      <c r="F94" s="89" t="s">
        <v>1049</v>
      </c>
      <c r="G94" s="98"/>
      <c r="H94" s="93"/>
      <c r="I94" s="93"/>
      <c r="J94" s="93"/>
      <c r="K94" s="93"/>
      <c r="L94" s="79"/>
      <c r="M94" s="79"/>
      <c r="N94" s="79"/>
      <c r="O94" s="79"/>
      <c r="P94" s="777"/>
      <c r="Q94" s="88"/>
      <c r="R94" s="88"/>
      <c r="S94" s="98"/>
    </row>
    <row r="95" spans="1:19" ht="12.75">
      <c r="A95" s="373" t="s">
        <v>409</v>
      </c>
      <c r="B95" s="114">
        <f>B94*1000</f>
        <v>2.2E-07</v>
      </c>
      <c r="C95" s="97" t="s">
        <v>830</v>
      </c>
      <c r="D95" s="781" t="s">
        <v>409</v>
      </c>
      <c r="E95" s="114">
        <f>E94*1000</f>
        <v>100000</v>
      </c>
      <c r="F95" s="89" t="s">
        <v>80</v>
      </c>
      <c r="G95" s="98"/>
      <c r="H95" s="93"/>
      <c r="I95" s="93"/>
      <c r="J95" s="93"/>
      <c r="K95" s="93"/>
      <c r="L95" s="79"/>
      <c r="M95" s="79"/>
      <c r="N95" s="79"/>
      <c r="O95" s="79"/>
      <c r="P95" s="180" t="s">
        <v>1039</v>
      </c>
      <c r="Q95" s="778">
        <f>R90/R89*(1-EXP(-R89/(R87*10^R88)*R91))</f>
        <v>1.37018648415595</v>
      </c>
      <c r="R95" s="88" t="s">
        <v>34</v>
      </c>
      <c r="S95" s="98"/>
    </row>
    <row r="96" spans="1:19" ht="13.5" thickBot="1">
      <c r="A96" s="90"/>
      <c r="B96" s="91"/>
      <c r="C96" s="99"/>
      <c r="D96" s="779"/>
      <c r="E96" s="91"/>
      <c r="F96" s="91"/>
      <c r="G96" s="99"/>
      <c r="H96" s="79"/>
      <c r="I96" s="79"/>
      <c r="J96" s="79"/>
      <c r="K96" s="79"/>
      <c r="L96" s="79"/>
      <c r="M96" s="79"/>
      <c r="N96" s="79"/>
      <c r="O96" s="79"/>
      <c r="P96" s="779"/>
      <c r="Q96" s="91"/>
      <c r="R96" s="91"/>
      <c r="S96" s="99"/>
    </row>
  </sheetData>
  <sheetProtection/>
  <mergeCells count="137">
    <mergeCell ref="A73:C73"/>
    <mergeCell ref="A80:C80"/>
    <mergeCell ref="P69:S69"/>
    <mergeCell ref="H75:I75"/>
    <mergeCell ref="H76:I76"/>
    <mergeCell ref="H73:K73"/>
    <mergeCell ref="M69:N69"/>
    <mergeCell ref="M70:N70"/>
    <mergeCell ref="A71:B71"/>
    <mergeCell ref="F71:G71"/>
    <mergeCell ref="L83:M83"/>
    <mergeCell ref="D73:G73"/>
    <mergeCell ref="L78:M78"/>
    <mergeCell ref="H80:J80"/>
    <mergeCell ref="L77:M77"/>
    <mergeCell ref="L73:O73"/>
    <mergeCell ref="L75:M75"/>
    <mergeCell ref="L82:M82"/>
    <mergeCell ref="D80:F80"/>
    <mergeCell ref="A85:C85"/>
    <mergeCell ref="A92:C92"/>
    <mergeCell ref="P37:S37"/>
    <mergeCell ref="A38:C38"/>
    <mergeCell ref="D38:G38"/>
    <mergeCell ref="D62:G62"/>
    <mergeCell ref="D63:G63"/>
    <mergeCell ref="A62:C62"/>
    <mergeCell ref="P74:Q74"/>
    <mergeCell ref="P75:Q75"/>
    <mergeCell ref="L1:O1"/>
    <mergeCell ref="P25:S25"/>
    <mergeCell ref="P13:S13"/>
    <mergeCell ref="P28:Q28"/>
    <mergeCell ref="P1:S1"/>
    <mergeCell ref="P3:Q3"/>
    <mergeCell ref="P9:S9"/>
    <mergeCell ref="P6:S6"/>
    <mergeCell ref="P27:Q27"/>
    <mergeCell ref="L25:O25"/>
    <mergeCell ref="P35:Q35"/>
    <mergeCell ref="L10:M10"/>
    <mergeCell ref="P15:Q15"/>
    <mergeCell ref="P16:Q16"/>
    <mergeCell ref="P23:Q23"/>
    <mergeCell ref="L13:O13"/>
    <mergeCell ref="L19:O19"/>
    <mergeCell ref="L3:M3"/>
    <mergeCell ref="L4:M4"/>
    <mergeCell ref="L5:M5"/>
    <mergeCell ref="L8:O8"/>
    <mergeCell ref="H3:I3"/>
    <mergeCell ref="H4:I4"/>
    <mergeCell ref="H5:I5"/>
    <mergeCell ref="H6:I6"/>
    <mergeCell ref="H27:I27"/>
    <mergeCell ref="H11:I11"/>
    <mergeCell ref="H23:I23"/>
    <mergeCell ref="H25:K25"/>
    <mergeCell ref="H20:K20"/>
    <mergeCell ref="H13:K13"/>
    <mergeCell ref="A7:C7"/>
    <mergeCell ref="H15:I15"/>
    <mergeCell ref="H16:I16"/>
    <mergeCell ref="H22:K22"/>
    <mergeCell ref="D16:E16"/>
    <mergeCell ref="H18:K18"/>
    <mergeCell ref="H8:K8"/>
    <mergeCell ref="D17:F17"/>
    <mergeCell ref="H9:K9"/>
    <mergeCell ref="D13:G13"/>
    <mergeCell ref="D71:E71"/>
    <mergeCell ref="A64:C64"/>
    <mergeCell ref="D64:G64"/>
    <mergeCell ref="H33:I33"/>
    <mergeCell ref="H35:I35"/>
    <mergeCell ref="H34:I34"/>
    <mergeCell ref="H63:K63"/>
    <mergeCell ref="A63:C63"/>
    <mergeCell ref="A37:C37"/>
    <mergeCell ref="H37:O37"/>
    <mergeCell ref="D28:E28"/>
    <mergeCell ref="H29:I29"/>
    <mergeCell ref="H32:I32"/>
    <mergeCell ref="D29:F29"/>
    <mergeCell ref="D25:G25"/>
    <mergeCell ref="D1:G1"/>
    <mergeCell ref="A30:C30"/>
    <mergeCell ref="H71:L71"/>
    <mergeCell ref="H62:K62"/>
    <mergeCell ref="H69:L69"/>
    <mergeCell ref="H70:L70"/>
    <mergeCell ref="H66:L66"/>
    <mergeCell ref="A1:C1"/>
    <mergeCell ref="H1:K1"/>
    <mergeCell ref="M66:N66"/>
    <mergeCell ref="M71:N71"/>
    <mergeCell ref="P60:S60"/>
    <mergeCell ref="P65:S65"/>
    <mergeCell ref="T13:W13"/>
    <mergeCell ref="T15:U15"/>
    <mergeCell ref="T16:U16"/>
    <mergeCell ref="T31:U31"/>
    <mergeCell ref="T17:U17"/>
    <mergeCell ref="T18:U18"/>
    <mergeCell ref="T20:W20"/>
    <mergeCell ref="T21:W21"/>
    <mergeCell ref="T36:U36"/>
    <mergeCell ref="T28:U28"/>
    <mergeCell ref="T22:W22"/>
    <mergeCell ref="T23:W23"/>
    <mergeCell ref="T27:U27"/>
    <mergeCell ref="T35:U35"/>
    <mergeCell ref="T32:U32"/>
    <mergeCell ref="T33:U33"/>
    <mergeCell ref="T37:W37"/>
    <mergeCell ref="T39:U39"/>
    <mergeCell ref="T40:U40"/>
    <mergeCell ref="T41:U41"/>
    <mergeCell ref="T42:U42"/>
    <mergeCell ref="T44:U44"/>
    <mergeCell ref="U46:V46"/>
    <mergeCell ref="P41:S41"/>
    <mergeCell ref="P45:S45"/>
    <mergeCell ref="P50:S50"/>
    <mergeCell ref="P54:S54"/>
    <mergeCell ref="P71:S71"/>
    <mergeCell ref="P73:Q73"/>
    <mergeCell ref="P76:Q76"/>
    <mergeCell ref="P77:Q77"/>
    <mergeCell ref="P79:Q79"/>
    <mergeCell ref="P85:S85"/>
    <mergeCell ref="P91:Q91"/>
    <mergeCell ref="D85:G85"/>
    <mergeCell ref="P87:Q87"/>
    <mergeCell ref="P88:Q88"/>
    <mergeCell ref="P89:Q89"/>
    <mergeCell ref="P90:Q9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N18" sqref="N18"/>
    </sheetView>
  </sheetViews>
  <sheetFormatPr defaultColWidth="9.140625" defaultRowHeight="12.75"/>
  <cols>
    <col min="1" max="1" width="12.7109375" style="0" customWidth="1"/>
    <col min="3" max="3" width="12.28125" style="0" bestFit="1" customWidth="1"/>
    <col min="4" max="4" width="9.57421875" style="0" customWidth="1"/>
    <col min="5" max="5" width="10.8515625" style="0" customWidth="1"/>
    <col min="6" max="6" width="15.7109375" style="0" customWidth="1"/>
    <col min="7" max="7" width="9.8515625" style="0" customWidth="1"/>
    <col min="8" max="8" width="11.7109375" style="0" customWidth="1"/>
    <col min="9" max="9" width="12.421875" style="0" customWidth="1"/>
    <col min="10" max="10" width="10.00390625" style="0" customWidth="1"/>
    <col min="11" max="11" width="12.421875" style="0" bestFit="1" customWidth="1"/>
    <col min="12" max="12" width="13.8515625" style="0" customWidth="1"/>
  </cols>
  <sheetData>
    <row r="1" spans="1:12" ht="12.75">
      <c r="A1" s="899" t="s">
        <v>707</v>
      </c>
      <c r="B1" s="900"/>
      <c r="C1" s="900"/>
      <c r="D1" s="901"/>
      <c r="E1" s="899" t="s">
        <v>707</v>
      </c>
      <c r="F1" s="900"/>
      <c r="G1" s="900"/>
      <c r="H1" s="901"/>
      <c r="I1" s="899" t="s">
        <v>707</v>
      </c>
      <c r="J1" s="900"/>
      <c r="K1" s="900"/>
      <c r="L1" s="901"/>
    </row>
    <row r="2" spans="1:12" ht="13.5" thickBot="1">
      <c r="A2" s="1068" t="s">
        <v>725</v>
      </c>
      <c r="B2" s="1069"/>
      <c r="C2" s="68"/>
      <c r="D2" s="96"/>
      <c r="E2" s="1068" t="s">
        <v>724</v>
      </c>
      <c r="F2" s="1069"/>
      <c r="G2" s="68"/>
      <c r="H2" s="96"/>
      <c r="I2" s="1068" t="s">
        <v>723</v>
      </c>
      <c r="J2" s="1069"/>
      <c r="K2" s="68"/>
      <c r="L2" s="96"/>
    </row>
    <row r="3" spans="1:12" ht="13.5" thickBot="1">
      <c r="A3" s="988" t="s">
        <v>711</v>
      </c>
      <c r="B3" s="990"/>
      <c r="C3" s="118">
        <v>5</v>
      </c>
      <c r="D3" s="96" t="s">
        <v>78</v>
      </c>
      <c r="E3" s="988" t="s">
        <v>711</v>
      </c>
      <c r="F3" s="990"/>
      <c r="G3" s="118">
        <v>5</v>
      </c>
      <c r="H3" s="96" t="s">
        <v>78</v>
      </c>
      <c r="I3" s="988" t="s">
        <v>711</v>
      </c>
      <c r="J3" s="990"/>
      <c r="K3" s="118">
        <v>5</v>
      </c>
      <c r="L3" s="96" t="s">
        <v>78</v>
      </c>
    </row>
    <row r="4" spans="1:12" ht="13.5" thickBot="1">
      <c r="A4" s="988" t="s">
        <v>712</v>
      </c>
      <c r="B4" s="990"/>
      <c r="C4" s="141">
        <v>0.71</v>
      </c>
      <c r="D4" s="96" t="s">
        <v>77</v>
      </c>
      <c r="E4" s="988" t="s">
        <v>715</v>
      </c>
      <c r="F4" s="990"/>
      <c r="G4" s="141">
        <v>3.655</v>
      </c>
      <c r="H4" s="96" t="s">
        <v>77</v>
      </c>
      <c r="I4" s="988" t="s">
        <v>680</v>
      </c>
      <c r="J4" s="990"/>
      <c r="K4" s="145">
        <v>0.999991</v>
      </c>
      <c r="L4" s="96"/>
    </row>
    <row r="5" spans="1:12" ht="13.5" thickBot="1">
      <c r="A5" s="988" t="s">
        <v>719</v>
      </c>
      <c r="B5" s="990"/>
      <c r="C5" s="141">
        <v>3.655</v>
      </c>
      <c r="D5" s="96" t="s">
        <v>77</v>
      </c>
      <c r="E5" s="988" t="s">
        <v>713</v>
      </c>
      <c r="F5" s="990"/>
      <c r="G5" s="119">
        <v>6.35</v>
      </c>
      <c r="H5" s="96" t="s">
        <v>77</v>
      </c>
      <c r="I5" s="988" t="s">
        <v>715</v>
      </c>
      <c r="J5" s="990"/>
      <c r="K5" s="141">
        <v>3.655</v>
      </c>
      <c r="L5" s="96" t="s">
        <v>77</v>
      </c>
    </row>
    <row r="6" spans="1:12" ht="13.5" thickBot="1">
      <c r="A6" s="988" t="s">
        <v>713</v>
      </c>
      <c r="B6" s="990"/>
      <c r="C6" s="119">
        <v>6.35</v>
      </c>
      <c r="D6" s="96" t="s">
        <v>77</v>
      </c>
      <c r="E6" s="106"/>
      <c r="F6" s="107"/>
      <c r="G6" s="68"/>
      <c r="H6" s="96"/>
      <c r="I6" s="988" t="s">
        <v>713</v>
      </c>
      <c r="J6" s="990"/>
      <c r="K6" s="119">
        <v>6.35</v>
      </c>
      <c r="L6" s="96" t="s">
        <v>77</v>
      </c>
    </row>
    <row r="7" spans="1:12" ht="12.75">
      <c r="A7" s="1068"/>
      <c r="B7" s="1069"/>
      <c r="C7" s="114"/>
      <c r="D7" s="96"/>
      <c r="E7" s="179" t="s">
        <v>79</v>
      </c>
      <c r="F7" s="156" t="s">
        <v>708</v>
      </c>
      <c r="G7" s="68"/>
      <c r="H7" s="96"/>
      <c r="I7" s="917"/>
      <c r="J7" s="918"/>
      <c r="K7" s="918"/>
      <c r="L7" s="919"/>
    </row>
    <row r="8" spans="1:12" ht="12.75">
      <c r="A8" s="179" t="s">
        <v>79</v>
      </c>
      <c r="B8" s="156" t="s">
        <v>101</v>
      </c>
      <c r="C8" s="68"/>
      <c r="D8" s="96"/>
      <c r="E8" s="106"/>
      <c r="F8" s="107" t="s">
        <v>714</v>
      </c>
      <c r="G8" s="105" t="s">
        <v>80</v>
      </c>
      <c r="H8" s="546"/>
      <c r="I8" s="917"/>
      <c r="J8" s="918"/>
      <c r="K8" s="918"/>
      <c r="L8" s="919"/>
    </row>
    <row r="9" spans="1:12" ht="12.75">
      <c r="A9" s="106"/>
      <c r="B9" s="107" t="s">
        <v>710</v>
      </c>
      <c r="C9" s="68"/>
      <c r="D9" s="546" t="s">
        <v>80</v>
      </c>
      <c r="E9" s="179"/>
      <c r="F9" s="156"/>
      <c r="G9" s="70" t="s">
        <v>717</v>
      </c>
      <c r="H9" s="96"/>
      <c r="I9" s="179" t="s">
        <v>79</v>
      </c>
      <c r="J9" s="156" t="s">
        <v>709</v>
      </c>
      <c r="K9" s="68"/>
      <c r="L9" s="96"/>
    </row>
    <row r="10" spans="1:12" ht="12.75">
      <c r="A10" s="106" t="s">
        <v>720</v>
      </c>
      <c r="B10" s="107"/>
      <c r="C10" s="68"/>
      <c r="D10" s="96"/>
      <c r="E10" s="106"/>
      <c r="F10" s="107"/>
      <c r="G10" s="918" t="s">
        <v>718</v>
      </c>
      <c r="H10" s="919"/>
      <c r="I10" s="106"/>
      <c r="J10" s="107" t="s">
        <v>716</v>
      </c>
      <c r="K10" s="68"/>
      <c r="L10" s="96" t="s">
        <v>722</v>
      </c>
    </row>
    <row r="11" spans="1:12" ht="12.75">
      <c r="A11" s="106"/>
      <c r="B11" s="107"/>
      <c r="C11" s="68"/>
      <c r="D11" s="96"/>
      <c r="E11" s="106"/>
      <c r="F11" s="107"/>
      <c r="G11" s="68"/>
      <c r="H11" s="96"/>
      <c r="I11" s="106"/>
      <c r="J11" s="107"/>
      <c r="K11" s="68"/>
      <c r="L11" s="96"/>
    </row>
    <row r="12" spans="1:12" ht="12.75">
      <c r="A12" s="988" t="s">
        <v>318</v>
      </c>
      <c r="B12" s="989"/>
      <c r="C12" s="157">
        <f>(0.0315*C3^2*((C4/2)+C5)^2)/((6*((C4/2)+C5))+(9*C6)+10*C4)</f>
        <v>0.14339348601517382</v>
      </c>
      <c r="D12" s="96" t="s">
        <v>80</v>
      </c>
      <c r="E12" s="988" t="s">
        <v>318</v>
      </c>
      <c r="F12" s="989"/>
      <c r="G12" s="157">
        <f>(G3^2*(G4/25.4)^2)/(9*(G4/25.4)+10*(G5/25.4))</f>
        <v>0.13640382440524204</v>
      </c>
      <c r="H12" s="96" t="s">
        <v>80</v>
      </c>
      <c r="I12" s="988" t="s">
        <v>318</v>
      </c>
      <c r="J12" s="989"/>
      <c r="K12" s="157">
        <f>(K4*4*10^-7*PI()*PI()*K3^2*(K5/1000)^2)/(K6/1000*(1+0.4502*K5*2/K6))*10^6</f>
        <v>0.13675720877194136</v>
      </c>
      <c r="L12" s="96" t="s">
        <v>80</v>
      </c>
    </row>
    <row r="13" spans="1:12" ht="13.5" thickBot="1">
      <c r="A13" s="103"/>
      <c r="B13" s="69"/>
      <c r="C13" s="69"/>
      <c r="D13" s="104"/>
      <c r="E13" s="103"/>
      <c r="F13" s="69"/>
      <c r="G13" s="69"/>
      <c r="H13" s="104"/>
      <c r="I13" s="103"/>
      <c r="J13" s="69"/>
      <c r="K13" s="69"/>
      <c r="L13" s="104"/>
    </row>
    <row r="14" spans="1:12" ht="12.75">
      <c r="A14" s="1072" t="s">
        <v>669</v>
      </c>
      <c r="B14" s="1073"/>
      <c r="C14" s="1073"/>
      <c r="D14" s="1074"/>
      <c r="E14" s="1072" t="s">
        <v>652</v>
      </c>
      <c r="F14" s="1073"/>
      <c r="G14" s="1073"/>
      <c r="H14" s="1074"/>
      <c r="I14" s="816" t="s">
        <v>474</v>
      </c>
      <c r="J14" s="817"/>
      <c r="K14" s="817"/>
      <c r="L14" s="818"/>
    </row>
    <row r="15" spans="1:12" ht="13.5" thickBot="1">
      <c r="A15" s="1075" t="s">
        <v>701</v>
      </c>
      <c r="B15" s="1076"/>
      <c r="C15" s="1076"/>
      <c r="D15" s="1077"/>
      <c r="E15" s="502"/>
      <c r="F15" s="503"/>
      <c r="G15" s="503"/>
      <c r="H15" s="504"/>
      <c r="I15" s="388"/>
      <c r="J15" s="287"/>
      <c r="K15" s="287"/>
      <c r="L15" s="391"/>
    </row>
    <row r="16" spans="1:12" ht="12.75">
      <c r="A16" s="502"/>
      <c r="B16" s="523" t="s">
        <v>676</v>
      </c>
      <c r="C16" s="523" t="s">
        <v>670</v>
      </c>
      <c r="D16" s="504"/>
      <c r="E16" s="1078" t="s">
        <v>653</v>
      </c>
      <c r="F16" s="1079"/>
      <c r="G16" s="118">
        <v>2</v>
      </c>
      <c r="H16" s="504"/>
      <c r="I16" s="388"/>
      <c r="J16" s="287"/>
      <c r="K16" s="287"/>
      <c r="L16" s="391"/>
    </row>
    <row r="17" spans="1:12" ht="13.5" thickBot="1">
      <c r="A17" s="502"/>
      <c r="B17" s="503"/>
      <c r="C17" s="503"/>
      <c r="D17" s="504"/>
      <c r="E17" s="1078" t="s">
        <v>654</v>
      </c>
      <c r="F17" s="1079"/>
      <c r="G17" s="141">
        <v>3</v>
      </c>
      <c r="H17" s="504"/>
      <c r="I17" s="388"/>
      <c r="J17" s="287"/>
      <c r="K17" s="287"/>
      <c r="L17" s="391"/>
    </row>
    <row r="18" spans="1:12" ht="13.5" thickBot="1">
      <c r="A18" s="505" t="s">
        <v>674</v>
      </c>
      <c r="B18" s="145">
        <v>2.6548</v>
      </c>
      <c r="C18" s="145">
        <v>1.00002</v>
      </c>
      <c r="D18" s="504"/>
      <c r="E18" s="1078" t="s">
        <v>398</v>
      </c>
      <c r="F18" s="1079"/>
      <c r="G18" s="141">
        <v>1</v>
      </c>
      <c r="H18" s="504" t="s">
        <v>655</v>
      </c>
      <c r="I18" s="388"/>
      <c r="J18" s="287"/>
      <c r="K18" s="287"/>
      <c r="L18" s="391"/>
    </row>
    <row r="19" spans="1:12" ht="13.5" thickBot="1">
      <c r="A19" s="505" t="s">
        <v>673</v>
      </c>
      <c r="B19" s="145">
        <v>1.678</v>
      </c>
      <c r="C19" s="145">
        <v>0.999991</v>
      </c>
      <c r="D19" s="504"/>
      <c r="E19" s="1078" t="s">
        <v>656</v>
      </c>
      <c r="F19" s="1079"/>
      <c r="G19" s="119">
        <v>50</v>
      </c>
      <c r="H19" s="504" t="s">
        <v>657</v>
      </c>
      <c r="I19" s="388"/>
      <c r="J19" s="547"/>
      <c r="K19" s="287"/>
      <c r="L19" s="391"/>
    </row>
    <row r="20" spans="1:12" ht="13.5" thickBot="1">
      <c r="A20" s="505" t="s">
        <v>672</v>
      </c>
      <c r="B20" s="145">
        <v>2.24</v>
      </c>
      <c r="C20" s="145">
        <v>1</v>
      </c>
      <c r="D20" s="504"/>
      <c r="E20" s="502"/>
      <c r="F20" s="503"/>
      <c r="G20" s="507"/>
      <c r="H20" s="504"/>
      <c r="I20" s="388"/>
      <c r="J20" s="287"/>
      <c r="K20" s="287"/>
      <c r="L20" s="391"/>
    </row>
    <row r="21" spans="1:12" ht="13.5" thickBot="1">
      <c r="A21" s="505" t="s">
        <v>681</v>
      </c>
      <c r="B21" s="145">
        <v>6.84</v>
      </c>
      <c r="C21" s="145">
        <v>600</v>
      </c>
      <c r="D21" s="504"/>
      <c r="E21" s="1080" t="s">
        <v>658</v>
      </c>
      <c r="F21" s="1081"/>
      <c r="G21" s="1081"/>
      <c r="H21" s="1082"/>
      <c r="I21" s="388"/>
      <c r="J21" s="287"/>
      <c r="K21" s="287"/>
      <c r="L21" s="391"/>
    </row>
    <row r="22" spans="1:12" ht="13.5" thickBot="1">
      <c r="A22" s="505" t="s">
        <v>671</v>
      </c>
      <c r="B22" s="145">
        <v>1.586</v>
      </c>
      <c r="C22" s="145">
        <v>0.99998</v>
      </c>
      <c r="D22" s="504"/>
      <c r="E22" s="1078"/>
      <c r="F22" s="1079"/>
      <c r="G22" s="503"/>
      <c r="H22" s="504"/>
      <c r="I22" s="388"/>
      <c r="J22" s="287"/>
      <c r="K22" s="287"/>
      <c r="L22" s="391"/>
    </row>
    <row r="23" spans="1:12" ht="12.75">
      <c r="A23" s="502"/>
      <c r="B23" s="503"/>
      <c r="C23" s="503"/>
      <c r="D23" s="504"/>
      <c r="E23" s="1078" t="s">
        <v>208</v>
      </c>
      <c r="F23" s="1079"/>
      <c r="G23" s="508">
        <f>G18*G17/G16</f>
        <v>1.5</v>
      </c>
      <c r="H23" s="504" t="s">
        <v>3</v>
      </c>
      <c r="I23" s="388"/>
      <c r="J23" s="287"/>
      <c r="K23" s="287"/>
      <c r="L23" s="391"/>
    </row>
    <row r="24" spans="1:12" ht="12.75">
      <c r="A24" s="1086" t="s">
        <v>660</v>
      </c>
      <c r="B24" s="1087"/>
      <c r="C24" s="1087"/>
      <c r="D24" s="1088"/>
      <c r="E24" s="1078"/>
      <c r="F24" s="1079"/>
      <c r="G24" s="503"/>
      <c r="H24" s="504"/>
      <c r="I24" s="388"/>
      <c r="J24" s="287"/>
      <c r="K24" s="287"/>
      <c r="L24" s="391"/>
    </row>
    <row r="25" spans="1:12" ht="13.5" thickBot="1">
      <c r="A25" s="502"/>
      <c r="B25" s="503"/>
      <c r="C25" s="503"/>
      <c r="D25" s="504"/>
      <c r="E25" s="1080" t="s">
        <v>684</v>
      </c>
      <c r="F25" s="1081"/>
      <c r="G25" s="1081"/>
      <c r="H25" s="1082"/>
      <c r="I25" s="388"/>
      <c r="J25" s="287"/>
      <c r="K25" s="287"/>
      <c r="L25" s="391"/>
    </row>
    <row r="26" spans="1:12" ht="13.5" thickBot="1">
      <c r="A26" s="1078" t="s">
        <v>348</v>
      </c>
      <c r="B26" s="1079"/>
      <c r="C26" s="145">
        <v>145000000</v>
      </c>
      <c r="D26" s="504" t="s">
        <v>50</v>
      </c>
      <c r="E26" s="1078"/>
      <c r="F26" s="1079"/>
      <c r="G26" s="503"/>
      <c r="H26" s="504"/>
      <c r="I26" s="388"/>
      <c r="J26" s="287"/>
      <c r="K26" s="287"/>
      <c r="L26" s="391"/>
    </row>
    <row r="27" spans="1:12" ht="13.5" thickBot="1">
      <c r="A27" s="1070" t="s">
        <v>679</v>
      </c>
      <c r="B27" s="1071"/>
      <c r="C27" s="145">
        <f>B19</f>
        <v>1.678</v>
      </c>
      <c r="D27" s="504" t="s">
        <v>677</v>
      </c>
      <c r="E27" s="1078" t="s">
        <v>659</v>
      </c>
      <c r="F27" s="1079"/>
      <c r="G27" s="508">
        <f>G19*G17^2/G16^2</f>
        <v>112.5</v>
      </c>
      <c r="H27" s="504" t="s">
        <v>22</v>
      </c>
      <c r="I27" s="388"/>
      <c r="J27" s="287"/>
      <c r="K27" s="287"/>
      <c r="L27" s="391"/>
    </row>
    <row r="28" spans="1:12" ht="13.5" thickBot="1">
      <c r="A28" s="1070" t="s">
        <v>680</v>
      </c>
      <c r="B28" s="1071"/>
      <c r="C28" s="145">
        <f>C19</f>
        <v>0.999991</v>
      </c>
      <c r="D28" s="504"/>
      <c r="E28" s="509"/>
      <c r="F28" s="510"/>
      <c r="G28" s="510"/>
      <c r="H28" s="511"/>
      <c r="I28" s="392"/>
      <c r="J28" s="393"/>
      <c r="K28" s="393"/>
      <c r="L28" s="394"/>
    </row>
    <row r="29" spans="1:4" ht="12.75">
      <c r="A29" s="502"/>
      <c r="B29" s="503"/>
      <c r="C29" s="503"/>
      <c r="D29" s="504"/>
    </row>
    <row r="30" spans="1:4" ht="12.75">
      <c r="A30" s="1080" t="s">
        <v>706</v>
      </c>
      <c r="B30" s="1081"/>
      <c r="C30" s="1081"/>
      <c r="D30" s="1082"/>
    </row>
    <row r="31" spans="1:4" ht="12.75">
      <c r="A31" s="502"/>
      <c r="B31" s="503"/>
      <c r="C31" s="503"/>
      <c r="D31" s="504"/>
    </row>
    <row r="32" spans="1:4" ht="12.75">
      <c r="A32" s="1078" t="s">
        <v>705</v>
      </c>
      <c r="B32" s="1079"/>
      <c r="C32" s="516">
        <f>(C27*10^-8/(PI()*C26*4*PI()*10^-7*C28))^0.5*10^6</f>
        <v>5.414197114963355</v>
      </c>
      <c r="D32" s="504" t="s">
        <v>678</v>
      </c>
    </row>
    <row r="33" spans="1:4" ht="12.75">
      <c r="A33" s="505"/>
      <c r="B33" s="506"/>
      <c r="C33" s="516"/>
      <c r="D33" s="504"/>
    </row>
    <row r="34" spans="1:4" ht="12.75">
      <c r="A34" s="1086" t="s">
        <v>685</v>
      </c>
      <c r="B34" s="1087"/>
      <c r="C34" s="1087"/>
      <c r="D34" s="1088"/>
    </row>
    <row r="35" spans="1:4" ht="13.5" thickBot="1">
      <c r="A35" s="538"/>
      <c r="B35" s="523"/>
      <c r="C35" s="523"/>
      <c r="D35" s="539"/>
    </row>
    <row r="36" spans="1:4" ht="12.75">
      <c r="A36" s="512"/>
      <c r="B36" s="506" t="s">
        <v>617</v>
      </c>
      <c r="C36" s="118">
        <v>1000</v>
      </c>
      <c r="D36" s="504" t="s">
        <v>77</v>
      </c>
    </row>
    <row r="37" spans="1:4" ht="13.5" thickBot="1">
      <c r="A37" s="502"/>
      <c r="B37" s="506" t="s">
        <v>591</v>
      </c>
      <c r="C37" s="119">
        <v>1.5</v>
      </c>
      <c r="D37" s="513" t="s">
        <v>77</v>
      </c>
    </row>
    <row r="38" spans="1:4" ht="12.75">
      <c r="A38" s="538"/>
      <c r="B38" s="523"/>
      <c r="C38" s="523"/>
      <c r="D38" s="539"/>
    </row>
    <row r="39" spans="1:4" ht="12.75">
      <c r="A39" s="538"/>
      <c r="B39" s="540" t="s">
        <v>686</v>
      </c>
      <c r="C39" s="523"/>
      <c r="D39" s="539"/>
    </row>
    <row r="40" spans="1:4" ht="12.75">
      <c r="A40" s="538"/>
      <c r="B40" s="523"/>
      <c r="C40" s="523"/>
      <c r="D40" s="539"/>
    </row>
    <row r="41" spans="1:4" ht="12.75">
      <c r="A41" s="505"/>
      <c r="B41" s="506" t="s">
        <v>687</v>
      </c>
      <c r="C41" s="516">
        <f>C27*10^-5*C36/(PI()*(C37/2)^2)</f>
        <v>0.009495537582513792</v>
      </c>
      <c r="D41" s="504" t="s">
        <v>22</v>
      </c>
    </row>
    <row r="42" spans="1:4" ht="12.75">
      <c r="A42" s="502"/>
      <c r="B42" s="503"/>
      <c r="C42" s="503"/>
      <c r="D42" s="504"/>
    </row>
    <row r="43" spans="1:4" ht="12.75">
      <c r="A43" s="1086" t="s">
        <v>703</v>
      </c>
      <c r="B43" s="1087"/>
      <c r="C43" s="1087"/>
      <c r="D43" s="1088"/>
    </row>
    <row r="44" spans="1:4" ht="12.75">
      <c r="A44" s="538"/>
      <c r="B44" s="523"/>
      <c r="C44" s="523"/>
      <c r="D44" s="539"/>
    </row>
    <row r="45" spans="1:4" ht="12.75">
      <c r="A45" s="1083" t="s">
        <v>704</v>
      </c>
      <c r="B45" s="1084"/>
      <c r="C45" s="1084"/>
      <c r="D45" s="1085"/>
    </row>
    <row r="46" spans="1:4" ht="12.75">
      <c r="A46" s="502"/>
      <c r="B46" s="503"/>
      <c r="C46" s="503"/>
      <c r="D46" s="504"/>
    </row>
    <row r="47" spans="1:4" ht="12.75">
      <c r="A47" s="505" t="s">
        <v>661</v>
      </c>
      <c r="B47" s="514" t="s">
        <v>688</v>
      </c>
      <c r="C47" s="503"/>
      <c r="D47" s="504"/>
    </row>
    <row r="48" spans="1:4" ht="12.75">
      <c r="A48" s="515"/>
      <c r="B48" s="503" t="s">
        <v>702</v>
      </c>
      <c r="C48" s="503"/>
      <c r="D48" s="504"/>
    </row>
    <row r="49" spans="1:4" ht="12.75">
      <c r="A49" s="502"/>
      <c r="B49" s="503"/>
      <c r="C49" s="503"/>
      <c r="D49" s="504"/>
    </row>
    <row r="50" spans="1:6" ht="12.75">
      <c r="A50" s="502"/>
      <c r="B50" s="506" t="s">
        <v>661</v>
      </c>
      <c r="C50" s="516">
        <f>C27*10^-8/(PI()*C37*C32*10^-6)</f>
        <v>0.0006576832202140414</v>
      </c>
      <c r="D50" s="504" t="s">
        <v>662</v>
      </c>
      <c r="F50" s="537"/>
    </row>
    <row r="51" spans="1:4" ht="12.75">
      <c r="A51" s="502"/>
      <c r="B51" s="506" t="s">
        <v>661</v>
      </c>
      <c r="C51" s="516">
        <f>C27*10^-8*C36/(C32*10^-3*PI()*C37*10^-3)</f>
        <v>0.6576832202140414</v>
      </c>
      <c r="D51" s="504" t="s">
        <v>22</v>
      </c>
    </row>
    <row r="52" spans="1:4" ht="13.5" thickBot="1">
      <c r="A52" s="509"/>
      <c r="B52" s="510"/>
      <c r="C52" s="510"/>
      <c r="D52" s="511"/>
    </row>
  </sheetData>
  <mergeCells count="48">
    <mergeCell ref="E1:H1"/>
    <mergeCell ref="E3:F3"/>
    <mergeCell ref="I2:J2"/>
    <mergeCell ref="I8:L8"/>
    <mergeCell ref="I4:J4"/>
    <mergeCell ref="E5:F5"/>
    <mergeCell ref="E4:F4"/>
    <mergeCell ref="I1:L1"/>
    <mergeCell ref="I3:J3"/>
    <mergeCell ref="I5:J5"/>
    <mergeCell ref="I6:J6"/>
    <mergeCell ref="A45:D45"/>
    <mergeCell ref="A34:D34"/>
    <mergeCell ref="A43:D43"/>
    <mergeCell ref="A24:D24"/>
    <mergeCell ref="A26:B26"/>
    <mergeCell ref="A32:B32"/>
    <mergeCell ref="A27:B27"/>
    <mergeCell ref="A30:D30"/>
    <mergeCell ref="E27:F27"/>
    <mergeCell ref="E23:F23"/>
    <mergeCell ref="E24:F24"/>
    <mergeCell ref="E25:H25"/>
    <mergeCell ref="E26:F26"/>
    <mergeCell ref="E18:F18"/>
    <mergeCell ref="E19:F19"/>
    <mergeCell ref="E21:H21"/>
    <mergeCell ref="E22:F22"/>
    <mergeCell ref="E2:F2"/>
    <mergeCell ref="E14:H14"/>
    <mergeCell ref="E16:F16"/>
    <mergeCell ref="E17:F17"/>
    <mergeCell ref="E12:F12"/>
    <mergeCell ref="A28:B28"/>
    <mergeCell ref="A14:D14"/>
    <mergeCell ref="A15:D15"/>
    <mergeCell ref="A1:D1"/>
    <mergeCell ref="A3:B3"/>
    <mergeCell ref="A2:B2"/>
    <mergeCell ref="A4:B4"/>
    <mergeCell ref="A5:B5"/>
    <mergeCell ref="A6:B6"/>
    <mergeCell ref="A12:B12"/>
    <mergeCell ref="I14:L14"/>
    <mergeCell ref="I7:L7"/>
    <mergeCell ref="G10:H10"/>
    <mergeCell ref="A7:B7"/>
    <mergeCell ref="I12:J12"/>
  </mergeCells>
  <printOptions/>
  <pageMargins left="0.75" right="0.75" top="1" bottom="1" header="0.5" footer="0.5"/>
  <pageSetup horizontalDpi="200" verticalDpi="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McMurdo Marine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hightonw</dc:creator>
  <cp:keywords/>
  <dc:description/>
  <cp:lastModifiedBy>William Highton</cp:lastModifiedBy>
  <dcterms:created xsi:type="dcterms:W3CDTF">2002-08-23T08:47:19Z</dcterms:created>
  <dcterms:modified xsi:type="dcterms:W3CDTF">2016-08-09T18:48:53Z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